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codeName="ThisWorkbook" defaultThemeVersion="124226"/>
  <mc:AlternateContent xmlns:mc="http://schemas.openxmlformats.org/markup-compatibility/2006">
    <mc:Choice Requires="x15">
      <x15ac:absPath xmlns:x15ac="http://schemas.microsoft.com/office/spreadsheetml/2010/11/ac" url="C:\Users\Chris\Dropbox\My Books\DADM 5e\Problem Solutions\Chapter 02\"/>
    </mc:Choice>
  </mc:AlternateContent>
  <bookViews>
    <workbookView xWindow="0" yWindow="0" windowWidth="21570" windowHeight="9450" activeTab="1"/>
  </bookViews>
  <sheets>
    <sheet name="Source" sheetId="3" r:id="rId1"/>
    <sheet name="Data" sheetId="2" r:id="rId2"/>
    <sheet name="State Data" sheetId="4" r:id="rId3"/>
    <sheet name="One Var Summary States" sheetId="6" r:id="rId4"/>
    <sheet name="Region Data" sheetId="7" r:id="rId5"/>
    <sheet name="_STDS_DG1248F91" sheetId="11" state="hidden" r:id="rId6"/>
    <sheet name="_STDS_DG36B9512B" sheetId="12" state="hidden" r:id="rId7"/>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1</definedName>
    <definedName name="_AtRisk_SimSetting_StdRecalcWithoutRiskStatic" hidden="1">0</definedName>
    <definedName name="_AtRisk_SimSetting_StdRecalcWithoutRiskStaticPercentile" hidden="1">0.5</definedName>
    <definedName name="PalisadeReportWorksheetCreatedBy" localSheetId="3" hidden="1">"StatTools"</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200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2</definedName>
    <definedName name="RiskUpdateDisplay" hidden="1">FALSE</definedName>
    <definedName name="RiskUseDifferentSeedForEachSim" hidden="1">FALSE</definedName>
    <definedName name="RiskUseFixedSeed" hidden="1">FALSE</definedName>
    <definedName name="RiskUseMultipleCPUs" hidden="1">TRUE</definedName>
    <definedName name="ST_1989">'State Data'!$B$2:$B$51</definedName>
    <definedName name="ST_1989_2">'Region Data'!$B$2:$B$10</definedName>
    <definedName name="ST_1990">'State Data'!$C$2:$C$51</definedName>
    <definedName name="ST_1990_3">'Region Data'!$C$2:$C$10</definedName>
    <definedName name="ST_1991">'State Data'!$D$2:$D$51</definedName>
    <definedName name="ST_1991_4">'Region Data'!$D$2:$D$10</definedName>
    <definedName name="ST_1992">'State Data'!$E$2:$E$51</definedName>
    <definedName name="ST_1992_5">'Region Data'!$E$2:$E$10</definedName>
    <definedName name="ST_1993">'State Data'!$F$2:$F$51</definedName>
    <definedName name="ST_1993_6">'Region Data'!$F$2:$F$10</definedName>
    <definedName name="ST_1994">'State Data'!$G$2:$G$51</definedName>
    <definedName name="ST_1994_7">'Region Data'!$G$2:$G$10</definedName>
    <definedName name="ST_1995">'State Data'!$H$2:$H$51</definedName>
    <definedName name="ST_1995_8">'Region Data'!$H$2:$H$10</definedName>
    <definedName name="ST_1996">'State Data'!$I$2:$I$51</definedName>
    <definedName name="ST_1996_9">'Region Data'!$I$2:$I$10</definedName>
    <definedName name="ST_1997">'State Data'!$J$2:$J$51</definedName>
    <definedName name="ST_1997_10">'Region Data'!$J$2:$J$10</definedName>
    <definedName name="ST_1998">'State Data'!$K$2:$K$51</definedName>
    <definedName name="ST_1998_11">'Region Data'!$K$2:$K$10</definedName>
    <definedName name="ST_1999">'State Data'!$L$2:$L$51</definedName>
    <definedName name="ST_1999_12">'Region Data'!$L$2:$L$10</definedName>
    <definedName name="ST_2000">'State Data'!$M$2:$M$51</definedName>
    <definedName name="ST_2000_13">'Region Data'!$M$2:$M$10</definedName>
    <definedName name="ST_2001">'State Data'!$N$2:$N$51</definedName>
    <definedName name="ST_2001_14">'Region Data'!$N$2:$N$10</definedName>
    <definedName name="ST_2002">'State Data'!$O$2:$O$51</definedName>
    <definedName name="ST_2002_15">'Region Data'!$O$2:$O$10</definedName>
    <definedName name="ST_2003">'State Data'!$P$2:$P$51</definedName>
    <definedName name="ST_2003_16">'Region Data'!$P$2:$P$10</definedName>
    <definedName name="ST_2004">'State Data'!$Q$2:$Q$51</definedName>
    <definedName name="ST_2004_17">'Region Data'!$Q$2:$Q$10</definedName>
    <definedName name="ST_2005">'State Data'!$R$2:$R$51</definedName>
    <definedName name="ST_2005_18">'Region Data'!$R$2:$R$10</definedName>
    <definedName name="ST_2006">'State Data'!$S$2:$S$51</definedName>
    <definedName name="ST_2006_19">'Region Data'!$S$2:$S$10</definedName>
    <definedName name="ST_2007">'State Data'!$T$2:$T$51</definedName>
    <definedName name="ST_2007_20">'Region Data'!$T$2:$T$10</definedName>
    <definedName name="ST_2008">'State Data'!$U$2:$U$51</definedName>
    <definedName name="ST_2008_21">'Region Data'!$U$2:$U$10</definedName>
    <definedName name="ST_Region">'Region Data'!$A$2:$A$10</definedName>
    <definedName name="ST_State">'State Data'!$A$2:$A$51</definedName>
    <definedName name="StatToolsHeader" localSheetId="3">'One Var Summary States'!$1:$5</definedName>
    <definedName name="STWBD_StatToolsOneVarSummary_Count" hidden="1">"FALSE"</definedName>
    <definedName name="STWBD_StatToolsOneVarSummary_DefaultDataFormat" hidden="1">" 0"</definedName>
    <definedName name="STWBD_StatToolsOneVarSummary_FirstQuartile" hidden="1">"TRUE"</definedName>
    <definedName name="STWBD_StatToolsOneVarSummary_HasDefaultInfo" hidden="1">"TRUE"</definedName>
    <definedName name="STWBD_StatToolsOneVarSummary_InterQuartileRange" hidden="1">"FALSE"</definedName>
    <definedName name="STWBD_StatToolsOneVarSummary_Kurtosis" hidden="1">"FALSE"</definedName>
    <definedName name="STWBD_StatToolsOneVarSummary_Maximum" hidden="1">"FALSE"</definedName>
    <definedName name="STWBD_StatToolsOneVarSummary_Mean" hidden="1">"TRUE"</definedName>
    <definedName name="STWBD_StatToolsOneVarSummary_MeanAbsDeviation" hidden="1">"FALSE"</definedName>
    <definedName name="STWBD_StatToolsOneVarSummary_Median" hidden="1">"TRUE"</definedName>
    <definedName name="STWBD_StatToolsOneVarSummary_Minimum" hidden="1">"FALSE"</definedName>
    <definedName name="STWBD_StatToolsOneVarSummary_Mode" hidden="1">"FALSE"</definedName>
    <definedName name="STWBD_StatToolsOneVarSummary_OtherPercentiles" hidden="1">"FALSE"</definedName>
    <definedName name="STWBD_StatToolsOneVarSummary_Range" hidden="1">"FALSE"</definedName>
    <definedName name="STWBD_StatToolsOneVarSummary_Skewness" hidden="1">"FALSE"</definedName>
    <definedName name="STWBD_StatToolsOneVarSummary_StandardDeviation" hidden="1">"TRUE"</definedName>
    <definedName name="STWBD_StatToolsOneVarSummary_Sum" hidden="1">"FALSE"</definedName>
    <definedName name="STWBD_StatToolsOneVarSummary_ThirdQuartile" hidden="1">"TRUE"</definedName>
    <definedName name="STWBD_StatToolsOneVarSummary_VariableList" hidden="1">20</definedName>
    <definedName name="STWBD_StatToolsOneVarSummary_VariableList_1" hidden="1">"U_x0001_VGB28A84A1C229E62_x0001_"</definedName>
    <definedName name="STWBD_StatToolsOneVarSummary_VariableList_10" hidden="1">"U_x0001_VG163051F2285E0C12_x0001_"</definedName>
    <definedName name="STWBD_StatToolsOneVarSummary_VariableList_11" hidden="1">"U_x0001_VG9279335E327E22_x0001_"</definedName>
    <definedName name="STWBD_StatToolsOneVarSummary_VariableList_12" hidden="1">"U_x0001_VG16B667B4389F45D7_x0001_"</definedName>
    <definedName name="STWBD_StatToolsOneVarSummary_VariableList_13" hidden="1">"U_x0001_VG2905BB4A3139F43C_x0001_"</definedName>
    <definedName name="STWBD_StatToolsOneVarSummary_VariableList_14" hidden="1">"U_x0001_VG11773CE31A28FA53_x0001_"</definedName>
    <definedName name="STWBD_StatToolsOneVarSummary_VariableList_15" hidden="1">"U_x0001_VG2F7F8C3116876EF_x0001_"</definedName>
    <definedName name="STWBD_StatToolsOneVarSummary_VariableList_16" hidden="1">"U_x0001_VG16935F111788C179_x0001_"</definedName>
    <definedName name="STWBD_StatToolsOneVarSummary_VariableList_17" hidden="1">"U_x0001_VG202A6038CBA9CF4_x0001_"</definedName>
    <definedName name="STWBD_StatToolsOneVarSummary_VariableList_18" hidden="1">"U_x0001_VG2FF0EF3016C5E50A_x0001_"</definedName>
    <definedName name="STWBD_StatToolsOneVarSummary_VariableList_19" hidden="1">"U_x0001_VG2288A3423B5B56D_x0001_"</definedName>
    <definedName name="STWBD_StatToolsOneVarSummary_VariableList_2" hidden="1">"U_x0001_VG195AC9FD13A2B75E_x0001_"</definedName>
    <definedName name="STWBD_StatToolsOneVarSummary_VariableList_20" hidden="1">"U_x0001_VG10353702153F0C66_x0001_"</definedName>
    <definedName name="STWBD_StatToolsOneVarSummary_VariableList_3" hidden="1">"U_x0001_VG2D728D082AA16785_x0001_"</definedName>
    <definedName name="STWBD_StatToolsOneVarSummary_VariableList_4" hidden="1">"U_x0001_VG25077012A524995_x0001_"</definedName>
    <definedName name="STWBD_StatToolsOneVarSummary_VariableList_5" hidden="1">"U_x0001_VGC63292033B84D8B_x0001_"</definedName>
    <definedName name="STWBD_StatToolsOneVarSummary_VariableList_6" hidden="1">"U_x0001_VG15CD2081254F4AD8_x0001_"</definedName>
    <definedName name="STWBD_StatToolsOneVarSummary_VariableList_7" hidden="1">"U_x0001_VG12F728C1FDE27_x0001_"</definedName>
    <definedName name="STWBD_StatToolsOneVarSummary_VariableList_8" hidden="1">"U_x0001_VG1DDC548B32FB299E_x0001_"</definedName>
    <definedName name="STWBD_StatToolsOneVarSummary_VariableList_9" hidden="1">"U_x0001_VG28567607EB262C8_x0001_"</definedName>
    <definedName name="STWBD_StatToolsOneVarSummary_Variance" hidden="1">"FALSE"</definedName>
    <definedName name="STWBD_StatToolsOneVarSummary_VarSelectorDefaultDataSet" hidden="1">"DG36B9512B"</definedName>
  </definedNames>
  <calcPr calcId="152511"/>
</workbook>
</file>

<file path=xl/calcChain.xml><?xml version="1.0" encoding="utf-8"?>
<calcChain xmlns="http://schemas.openxmlformats.org/spreadsheetml/2006/main">
  <c r="B14" i="7" l="1"/>
  <c r="B15" i="7"/>
  <c r="B16" i="7"/>
  <c r="B17" i="7"/>
  <c r="B18" i="7"/>
  <c r="B19" i="7"/>
  <c r="B20" i="7"/>
  <c r="B21" i="7"/>
  <c r="B13" i="7"/>
  <c r="B9" i="12"/>
  <c r="B9" i="11"/>
  <c r="B73" i="12"/>
  <c r="B70" i="12"/>
  <c r="B67" i="12"/>
  <c r="B64" i="12"/>
  <c r="B61" i="12"/>
  <c r="B58" i="12"/>
  <c r="B55" i="12"/>
  <c r="B52" i="12"/>
  <c r="B49" i="12"/>
  <c r="B46" i="12"/>
  <c r="B43" i="12"/>
  <c r="B40" i="12"/>
  <c r="B37" i="12"/>
  <c r="B34" i="12"/>
  <c r="B31" i="12"/>
  <c r="B28" i="12"/>
  <c r="B25" i="12"/>
  <c r="B22" i="12"/>
  <c r="B19" i="12"/>
  <c r="B16" i="12"/>
  <c r="B13" i="12"/>
  <c r="B7" i="12"/>
  <c r="B3" i="12"/>
  <c r="B73" i="11"/>
  <c r="B70" i="11"/>
  <c r="B67" i="11"/>
  <c r="B64" i="11"/>
  <c r="B61" i="11"/>
  <c r="B58" i="11"/>
  <c r="B55" i="11"/>
  <c r="B52" i="11"/>
  <c r="B49" i="11"/>
  <c r="B46" i="11"/>
  <c r="B43" i="11"/>
  <c r="B40" i="11"/>
  <c r="B37" i="11"/>
  <c r="B34" i="11"/>
  <c r="B31" i="11"/>
  <c r="B28" i="11"/>
  <c r="B25" i="11"/>
  <c r="B22" i="11"/>
  <c r="B19" i="11"/>
  <c r="B16" i="11"/>
  <c r="B13" i="11"/>
  <c r="B7" i="11"/>
  <c r="B3" i="11"/>
  <c r="P12" i="6"/>
  <c r="I9" i="6"/>
  <c r="R11" i="6"/>
  <c r="M9" i="6"/>
  <c r="Q10" i="6"/>
  <c r="U10" i="6"/>
  <c r="O13" i="6"/>
  <c r="L10" i="6"/>
  <c r="T10" i="6"/>
  <c r="U9" i="6"/>
  <c r="M10" i="6"/>
  <c r="D12" i="6"/>
  <c r="R13" i="6"/>
  <c r="L11" i="6"/>
  <c r="G9" i="6"/>
  <c r="O9" i="6"/>
  <c r="H13" i="6"/>
  <c r="C11" i="6"/>
  <c r="K13" i="6"/>
  <c r="K12" i="6"/>
  <c r="F10" i="6"/>
  <c r="D11" i="6"/>
  <c r="P13" i="6"/>
  <c r="K11" i="6"/>
  <c r="C12" i="6"/>
  <c r="Q9" i="6"/>
  <c r="I10" i="6"/>
  <c r="C13" i="6"/>
  <c r="E11" i="6"/>
  <c r="E12" i="6"/>
  <c r="N11" i="6"/>
  <c r="H11" i="6"/>
  <c r="R10" i="6"/>
  <c r="H10" i="6"/>
  <c r="D10" i="6"/>
  <c r="F9" i="6"/>
  <c r="Q12" i="6"/>
  <c r="I12" i="6"/>
  <c r="B11" i="6"/>
  <c r="D13" i="6"/>
  <c r="P9" i="6"/>
  <c r="E10" i="6"/>
  <c r="T13" i="6"/>
  <c r="H12" i="6"/>
  <c r="J11" i="6"/>
  <c r="E9" i="6"/>
  <c r="Q11" i="6"/>
  <c r="B13" i="6"/>
  <c r="H9" i="6"/>
  <c r="M13" i="6"/>
  <c r="S11" i="6"/>
  <c r="O11" i="6"/>
  <c r="C10" i="6"/>
  <c r="B9" i="6"/>
  <c r="K10" i="6"/>
  <c r="G13" i="6"/>
  <c r="G10" i="6"/>
  <c r="S12" i="6"/>
  <c r="N10" i="6"/>
  <c r="S13" i="6"/>
  <c r="R12" i="6"/>
  <c r="U12" i="6"/>
  <c r="P10" i="6"/>
  <c r="E13" i="6"/>
  <c r="J12" i="6"/>
  <c r="S9" i="6"/>
  <c r="U13" i="6"/>
  <c r="L13" i="6"/>
  <c r="D9" i="6"/>
  <c r="P11" i="6"/>
  <c r="K9" i="6"/>
  <c r="M11" i="6"/>
  <c r="T11" i="6"/>
  <c r="O10" i="6"/>
  <c r="I13" i="6"/>
  <c r="J13" i="6"/>
  <c r="R9" i="6"/>
  <c r="L12" i="6"/>
  <c r="B12" i="6"/>
  <c r="G11" i="6"/>
  <c r="Q13" i="6"/>
  <c r="J9" i="6"/>
  <c r="S10" i="6"/>
  <c r="O12" i="6"/>
  <c r="J10" i="6"/>
  <c r="G12" i="6"/>
  <c r="L9" i="6"/>
  <c r="F12" i="6"/>
  <c r="U11" i="6"/>
  <c r="N13" i="6"/>
  <c r="I11" i="6"/>
  <c r="N9" i="6"/>
  <c r="T9" i="6"/>
  <c r="N12" i="6"/>
  <c r="F13" i="6"/>
  <c r="F11" i="6"/>
  <c r="B10" i="6"/>
  <c r="C9" i="6"/>
  <c r="M12" i="6"/>
  <c r="T12" i="6"/>
</calcChain>
</file>

<file path=xl/comments1.xml><?xml version="1.0" encoding="utf-8"?>
<comments xmlns="http://schemas.openxmlformats.org/spreadsheetml/2006/main">
  <authors>
    <author>Christopher J. Zappe</author>
  </authors>
  <commentList>
    <comment ref="A1" authorId="0" shapeId="0">
      <text>
        <r>
          <rPr>
            <sz val="8"/>
            <color indexed="81"/>
            <rFont val="Tahoma"/>
            <family val="2"/>
          </rPr>
          <t>Arranged by regions and sub-regions of the United States.</t>
        </r>
      </text>
    </comment>
  </commentList>
</comments>
</file>

<file path=xl/comments2.xml><?xml version="1.0" encoding="utf-8"?>
<comments xmlns="http://schemas.openxmlformats.org/spreadsheetml/2006/main">
  <authors>
    <author>Christopher J. Zappe</author>
  </authors>
  <commentList>
    <comment ref="A1" authorId="0" shapeId="0">
      <text>
        <r>
          <rPr>
            <sz val="8"/>
            <color indexed="81"/>
            <rFont val="Tahoma"/>
            <family val="2"/>
          </rPr>
          <t>Arranged by regions and sub-regions of the United States.</t>
        </r>
      </text>
    </comment>
  </commentList>
</comments>
</file>

<file path=xl/comments3.xml><?xml version="1.0" encoding="utf-8"?>
<comments xmlns="http://schemas.openxmlformats.org/spreadsheetml/2006/main">
  <authors>
    <author>Christopher J. Zappe</author>
  </authors>
  <commentList>
    <comment ref="A1" authorId="0" shapeId="0">
      <text>
        <r>
          <rPr>
            <sz val="8"/>
            <color indexed="81"/>
            <rFont val="Tahoma"/>
            <family val="2"/>
          </rPr>
          <t>Arranged by regions and sub-regions of the United States.</t>
        </r>
      </text>
    </comment>
  </commentList>
</comments>
</file>

<file path=xl/sharedStrings.xml><?xml version="1.0" encoding="utf-8"?>
<sst xmlns="http://schemas.openxmlformats.org/spreadsheetml/2006/main" count="486" uniqueCount="352">
  <si>
    <t>Northeast:</t>
  </si>
  <si>
    <t xml:space="preserve"> New England:</t>
  </si>
  <si>
    <t xml:space="preserve">  Maine</t>
  </si>
  <si>
    <t xml:space="preserve">  New Hampshire</t>
  </si>
  <si>
    <t xml:space="preserve">  Vermont</t>
  </si>
  <si>
    <t xml:space="preserve">  Massachusetts</t>
  </si>
  <si>
    <t xml:space="preserve">  Rhode Island</t>
  </si>
  <si>
    <t xml:space="preserve">  Connecticut</t>
  </si>
  <si>
    <t xml:space="preserve"> Middle Atlantic:</t>
  </si>
  <si>
    <t xml:space="preserve">  New York</t>
  </si>
  <si>
    <t xml:space="preserve">  New Jersey</t>
  </si>
  <si>
    <t xml:space="preserve">  Pennsylvania</t>
  </si>
  <si>
    <t>North Central:</t>
  </si>
  <si>
    <t xml:space="preserve"> East North Central:</t>
  </si>
  <si>
    <t xml:space="preserve">  Ohio</t>
  </si>
  <si>
    <t xml:space="preserve">  Indiana</t>
  </si>
  <si>
    <t xml:space="preserve">  Illinois</t>
  </si>
  <si>
    <t xml:space="preserve">  Michigan</t>
  </si>
  <si>
    <t xml:space="preserve">  Wisconsin</t>
  </si>
  <si>
    <t xml:space="preserve"> West North Central:</t>
  </si>
  <si>
    <t xml:space="preserve">  Minnesota</t>
  </si>
  <si>
    <t xml:space="preserve">  Iowa</t>
  </si>
  <si>
    <t xml:space="preserve">  Missouri</t>
  </si>
  <si>
    <t xml:space="preserve">  North Dakota</t>
  </si>
  <si>
    <t xml:space="preserve">  South Dakota</t>
  </si>
  <si>
    <t xml:space="preserve">  Nebraska</t>
  </si>
  <si>
    <t xml:space="preserve">  Kansas</t>
  </si>
  <si>
    <t>South:</t>
  </si>
  <si>
    <t xml:space="preserve"> South Atlantic:</t>
  </si>
  <si>
    <t xml:space="preserve">  Delaware</t>
  </si>
  <si>
    <t xml:space="preserve">  Maryland</t>
  </si>
  <si>
    <t xml:space="preserve">  Virginia</t>
  </si>
  <si>
    <t xml:space="preserve">  West Virginia</t>
  </si>
  <si>
    <t xml:space="preserve">  North Carolina</t>
  </si>
  <si>
    <t xml:space="preserve">  South Carolina</t>
  </si>
  <si>
    <t xml:space="preserve">  Georgia</t>
  </si>
  <si>
    <t xml:space="preserve">  Florida</t>
  </si>
  <si>
    <t xml:space="preserve"> East South Central:</t>
  </si>
  <si>
    <t xml:space="preserve">  Kentucky</t>
  </si>
  <si>
    <t xml:space="preserve">  Tennessee</t>
  </si>
  <si>
    <t xml:space="preserve">  Alabama</t>
  </si>
  <si>
    <t xml:space="preserve">  Mississippi</t>
  </si>
  <si>
    <t xml:space="preserve"> West South Central:</t>
  </si>
  <si>
    <t xml:space="preserve">  Arkansas</t>
  </si>
  <si>
    <t xml:space="preserve">  Louisiana</t>
  </si>
  <si>
    <t xml:space="preserve">  Oklahoma</t>
  </si>
  <si>
    <t xml:space="preserve">  Texas</t>
  </si>
  <si>
    <t>West:</t>
  </si>
  <si>
    <t xml:space="preserve"> Mountain:</t>
  </si>
  <si>
    <t xml:space="preserve">  Montana</t>
  </si>
  <si>
    <t xml:space="preserve">  Idaho</t>
  </si>
  <si>
    <t xml:space="preserve">  Wyoming</t>
  </si>
  <si>
    <t xml:space="preserve">  Colorado</t>
  </si>
  <si>
    <t xml:space="preserve">  New Mexico</t>
  </si>
  <si>
    <t xml:space="preserve">  Arizona</t>
  </si>
  <si>
    <t xml:space="preserve">  Utah</t>
  </si>
  <si>
    <t xml:space="preserve">  Nevada</t>
  </si>
  <si>
    <t xml:space="preserve"> Pacific:</t>
  </si>
  <si>
    <t xml:space="preserve">  Washington</t>
  </si>
  <si>
    <t xml:space="preserve">  Oregon</t>
  </si>
  <si>
    <t xml:space="preserve">  California</t>
  </si>
  <si>
    <t xml:space="preserve">  Alaska</t>
  </si>
  <si>
    <t xml:space="preserve">  Hawaii</t>
  </si>
  <si>
    <t>Maine</t>
  </si>
  <si>
    <t>New Hampshire</t>
  </si>
  <si>
    <t>Vermont</t>
  </si>
  <si>
    <t>Massachusetts</t>
  </si>
  <si>
    <t>Rhode Island</t>
  </si>
  <si>
    <t>Connecticut</t>
  </si>
  <si>
    <t>New York</t>
  </si>
  <si>
    <t>New Jersey</t>
  </si>
  <si>
    <t>Pennsylvania</t>
  </si>
  <si>
    <t>Ohio</t>
  </si>
  <si>
    <t>Indiana</t>
  </si>
  <si>
    <t>Illinois</t>
  </si>
  <si>
    <t>Michigan</t>
  </si>
  <si>
    <t>Wisconsin</t>
  </si>
  <si>
    <t>Minnesota</t>
  </si>
  <si>
    <t>Iowa</t>
  </si>
  <si>
    <t>Missouri</t>
  </si>
  <si>
    <t>North Dakota</t>
  </si>
  <si>
    <t>South Dakota</t>
  </si>
  <si>
    <t>Nebraska</t>
  </si>
  <si>
    <t>Kansas</t>
  </si>
  <si>
    <t>Delaware</t>
  </si>
  <si>
    <t>Maryland</t>
  </si>
  <si>
    <t>Virginia</t>
  </si>
  <si>
    <t>West Virginia</t>
  </si>
  <si>
    <t>North Carolina</t>
  </si>
  <si>
    <t>South Carolina</t>
  </si>
  <si>
    <t>Georgia</t>
  </si>
  <si>
    <t>Florida</t>
  </si>
  <si>
    <t>Kentucky</t>
  </si>
  <si>
    <t>Tennessee</t>
  </si>
  <si>
    <t>Alabama</t>
  </si>
  <si>
    <t>Mississippi</t>
  </si>
  <si>
    <t>Arkansas</t>
  </si>
  <si>
    <t>Louisiana</t>
  </si>
  <si>
    <t>Oklahoma</t>
  </si>
  <si>
    <t>Texas</t>
  </si>
  <si>
    <t>Montana</t>
  </si>
  <si>
    <t>Idaho</t>
  </si>
  <si>
    <t>Wyoming</t>
  </si>
  <si>
    <t>Colorado</t>
  </si>
  <si>
    <t>New Mexico</t>
  </si>
  <si>
    <t>Arizona</t>
  </si>
  <si>
    <t>Utah</t>
  </si>
  <si>
    <t>Nevada</t>
  </si>
  <si>
    <t>Washington</t>
  </si>
  <si>
    <t>Oregon</t>
  </si>
  <si>
    <t>California</t>
  </si>
  <si>
    <t>Alaska</t>
  </si>
  <si>
    <t>Hawaii</t>
  </si>
  <si>
    <t>State</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</si>
  <si>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</si>
  <si>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</si>
  <si>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</si>
  <si>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</si>
  <si>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</si>
  <si>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</si>
  <si>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</si>
  <si>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</si>
  <si>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</si>
  <si>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</si>
  <si>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GUID</t>
  </si>
  <si>
    <t>DG1248F91</t>
  </si>
  <si>
    <t>Format Range</t>
  </si>
  <si>
    <t>Variable Layout</t>
  </si>
  <si>
    <t>Columns</t>
  </si>
  <si>
    <t>Variable Names In Cells</t>
  </si>
  <si>
    <t>Variable Names In 2nd Cells</t>
  </si>
  <si>
    <t>Data Set Ranges</t>
  </si>
  <si>
    <t>Data Sheet Format</t>
  </si>
  <si>
    <t>Formula Eval Cell</t>
  </si>
  <si>
    <t>Num Stored Vars</t>
  </si>
  <si>
    <t>1 : Info</t>
  </si>
  <si>
    <t>VG331E47ADEDA6F03</t>
  </si>
  <si>
    <t>var1</t>
  </si>
  <si>
    <t>ST_State</t>
  </si>
  <si>
    <t>1 : Ranges</t>
  </si>
  <si>
    <t>1 : MultiRefs</t>
  </si>
  <si>
    <t>2 : Info</t>
  </si>
  <si>
    <t>VG274D2E029DEB10A</t>
  </si>
  <si>
    <t>var2</t>
  </si>
  <si>
    <t>ST_1989</t>
  </si>
  <si>
    <t>2 : Ranges</t>
  </si>
  <si>
    <t>2 : MultiRefs</t>
  </si>
  <si>
    <t>3 : Info</t>
  </si>
  <si>
    <t>VG2F58932A2B78EB4D</t>
  </si>
  <si>
    <t>var3</t>
  </si>
  <si>
    <t>ST_1990</t>
  </si>
  <si>
    <t>3 : Ranges</t>
  </si>
  <si>
    <t>3 : MultiRefs</t>
  </si>
  <si>
    <t>4 : Info</t>
  </si>
  <si>
    <t>VG3A6852393B89ECDB</t>
  </si>
  <si>
    <t>var4</t>
  </si>
  <si>
    <t>ST_1991</t>
  </si>
  <si>
    <t>4 : Ranges</t>
  </si>
  <si>
    <t>4 : MultiRefs</t>
  </si>
  <si>
    <t>5 : Info</t>
  </si>
  <si>
    <t>VG30B848A3A51D69F</t>
  </si>
  <si>
    <t>var5</t>
  </si>
  <si>
    <t>ST_1992</t>
  </si>
  <si>
    <t>5 : Ranges</t>
  </si>
  <si>
    <t>5 : MultiRefs</t>
  </si>
  <si>
    <t>6 : Info</t>
  </si>
  <si>
    <t>VG1570F78B3A2B5F8B</t>
  </si>
  <si>
    <t>var6</t>
  </si>
  <si>
    <t>ST_1993</t>
  </si>
  <si>
    <t>6 : Ranges</t>
  </si>
  <si>
    <t>6 : MultiRefs</t>
  </si>
  <si>
    <t>7 : Info</t>
  </si>
  <si>
    <t>VG2EE7BF21306EB9FF</t>
  </si>
  <si>
    <t>var7</t>
  </si>
  <si>
    <t>ST_1994</t>
  </si>
  <si>
    <t>7 : Ranges</t>
  </si>
  <si>
    <t>7 : MultiRefs</t>
  </si>
  <si>
    <t>8 : Info</t>
  </si>
  <si>
    <t>VG2CF896714A70686</t>
  </si>
  <si>
    <t>var8</t>
  </si>
  <si>
    <t>ST_1995</t>
  </si>
  <si>
    <t>8 : Ranges</t>
  </si>
  <si>
    <t>8 : MultiRefs</t>
  </si>
  <si>
    <t>9 : Info</t>
  </si>
  <si>
    <t>VG2559E0FE29143C79</t>
  </si>
  <si>
    <t>var9</t>
  </si>
  <si>
    <t>ST_1996</t>
  </si>
  <si>
    <t>9 : Ranges</t>
  </si>
  <si>
    <t>9 : MultiRefs</t>
  </si>
  <si>
    <t>10 : Info</t>
  </si>
  <si>
    <t>VG1C9C6845689B386</t>
  </si>
  <si>
    <t>var10</t>
  </si>
  <si>
    <t>ST_1997</t>
  </si>
  <si>
    <t>10 : Ranges</t>
  </si>
  <si>
    <t>10 : MultiRefs</t>
  </si>
  <si>
    <t>11 : Info</t>
  </si>
  <si>
    <t>VG17F243B0190561CB</t>
  </si>
  <si>
    <t>var11</t>
  </si>
  <si>
    <t>ST_1998</t>
  </si>
  <si>
    <t>11 : Ranges</t>
  </si>
  <si>
    <t>11 : MultiRefs</t>
  </si>
  <si>
    <t>12 : Info</t>
  </si>
  <si>
    <t>VG16159A8C1A4E8A77</t>
  </si>
  <si>
    <t>var12</t>
  </si>
  <si>
    <t>ST_1999</t>
  </si>
  <si>
    <t>12 : Ranges</t>
  </si>
  <si>
    <t>12 : MultiRefs</t>
  </si>
  <si>
    <t>13 : Info</t>
  </si>
  <si>
    <t>VG2693F212CA1978D</t>
  </si>
  <si>
    <t>var13</t>
  </si>
  <si>
    <t>ST_2000</t>
  </si>
  <si>
    <t>13 : Ranges</t>
  </si>
  <si>
    <t>13 : MultiRefs</t>
  </si>
  <si>
    <t>14 : Info</t>
  </si>
  <si>
    <t>VG273EB31731C0C5E3</t>
  </si>
  <si>
    <t>var14</t>
  </si>
  <si>
    <t>ST_2001</t>
  </si>
  <si>
    <t>14 : Ranges</t>
  </si>
  <si>
    <t>14 : MultiRefs</t>
  </si>
  <si>
    <t>15 : Info</t>
  </si>
  <si>
    <t>VG386155247B9D2D5</t>
  </si>
  <si>
    <t>var15</t>
  </si>
  <si>
    <t>ST_2002</t>
  </si>
  <si>
    <t>15 : Ranges</t>
  </si>
  <si>
    <t>15 : MultiRefs</t>
  </si>
  <si>
    <t>16 : Info</t>
  </si>
  <si>
    <t>VG2A911A431D442DD7</t>
  </si>
  <si>
    <t>var16</t>
  </si>
  <si>
    <t>ST_2003</t>
  </si>
  <si>
    <t>16 : Ranges</t>
  </si>
  <si>
    <t>16 : MultiRefs</t>
  </si>
  <si>
    <t>17 : Info</t>
  </si>
  <si>
    <t>VG2D18635D244C6062</t>
  </si>
  <si>
    <t>var17</t>
  </si>
  <si>
    <t>ST_2004</t>
  </si>
  <si>
    <t>17 : Ranges</t>
  </si>
  <si>
    <t>17 : MultiRefs</t>
  </si>
  <si>
    <t>18 : Info</t>
  </si>
  <si>
    <t>VG2F33C5713939D550</t>
  </si>
  <si>
    <t>var18</t>
  </si>
  <si>
    <t>ST_2005</t>
  </si>
  <si>
    <t>18 : Ranges</t>
  </si>
  <si>
    <t>18 : MultiRefs</t>
  </si>
  <si>
    <t>19 : Info</t>
  </si>
  <si>
    <t>VG1D55826ED570944</t>
  </si>
  <si>
    <t>var19</t>
  </si>
  <si>
    <t>ST_2006</t>
  </si>
  <si>
    <t>19 : Ranges</t>
  </si>
  <si>
    <t>19 : MultiRefs</t>
  </si>
  <si>
    <t>20 : Info</t>
  </si>
  <si>
    <t>VG2BAE79111DA701B</t>
  </si>
  <si>
    <t>var20</t>
  </si>
  <si>
    <t>ST_2007</t>
  </si>
  <si>
    <t>20 : Ranges</t>
  </si>
  <si>
    <t>20 : MultiRefs</t>
  </si>
  <si>
    <t>21 : Info</t>
  </si>
  <si>
    <t>VG3287878829CB7003</t>
  </si>
  <si>
    <t>var21</t>
  </si>
  <si>
    <t>ST_2008</t>
  </si>
  <si>
    <t>21 : Ranges</t>
  </si>
  <si>
    <t>21 : MultiRefs</t>
  </si>
  <si>
    <t>StatTools</t>
  </si>
  <si>
    <t>(Core Analysis Pack)</t>
  </si>
  <si>
    <t>Analysis:</t>
  </si>
  <si>
    <t>One Variable Summary</t>
  </si>
  <si>
    <t>Performed By:</t>
  </si>
  <si>
    <t xml:space="preserve"> Chris Albright</t>
  </si>
  <si>
    <t>Date:</t>
  </si>
  <si>
    <t>Updating:</t>
  </si>
  <si>
    <t>Live</t>
  </si>
  <si>
    <t>1989</t>
  </si>
  <si>
    <t>1990</t>
  </si>
  <si>
    <t>1991</t>
  </si>
  <si>
    <t>1992</t>
  </si>
  <si>
    <t>1993</t>
  </si>
  <si>
    <t>1994</t>
  </si>
  <si>
    <t>1995</t>
  </si>
  <si>
    <t>1996</t>
  </si>
  <si>
    <t>1997</t>
  </si>
  <si>
    <t>1998</t>
  </si>
  <si>
    <t>1999</t>
  </si>
  <si>
    <t>2000</t>
  </si>
  <si>
    <t>2001</t>
  </si>
  <si>
    <t>2002</t>
  </si>
  <si>
    <t>2003</t>
  </si>
  <si>
    <t>2004</t>
  </si>
  <si>
    <t>2005</t>
  </si>
  <si>
    <t>2006</t>
  </si>
  <si>
    <t>2007</t>
  </si>
  <si>
    <t>2008</t>
  </si>
  <si>
    <t>Mean</t>
  </si>
  <si>
    <t>Std. Dev.</t>
  </si>
  <si>
    <t>Median</t>
  </si>
  <si>
    <t>1st Quartile</t>
  </si>
  <si>
    <t>3rd Quartile</t>
  </si>
  <si>
    <t>New England</t>
  </si>
  <si>
    <t>Middle Atlantic</t>
  </si>
  <si>
    <t>East North Central</t>
  </si>
  <si>
    <t>West North Central</t>
  </si>
  <si>
    <t>South Atlantic</t>
  </si>
  <si>
    <t>East South Central</t>
  </si>
  <si>
    <t>West South Central</t>
  </si>
  <si>
    <t>Mountain</t>
  </si>
  <si>
    <t>Pacific</t>
  </si>
  <si>
    <t>Region</t>
  </si>
  <si>
    <t>Region Data</t>
  </si>
  <si>
    <t>DG36B9512B</t>
  </si>
  <si>
    <t>VG340931451694D628</t>
  </si>
  <si>
    <t>ST_Region</t>
  </si>
  <si>
    <t>VGB28A84A1C229E62</t>
  </si>
  <si>
    <t>ST_1989_2</t>
  </si>
  <si>
    <t>VG195AC9FD13A2B75E</t>
  </si>
  <si>
    <t>ST_1990_3</t>
  </si>
  <si>
    <t>VG2D728D082AA16785</t>
  </si>
  <si>
    <t>ST_1991_4</t>
  </si>
  <si>
    <t>VG25077012A524995</t>
  </si>
  <si>
    <t>ST_1992_5</t>
  </si>
  <si>
    <t>VGC63292033B84D8B</t>
  </si>
  <si>
    <t>ST_1993_6</t>
  </si>
  <si>
    <t>VG15CD2081254F4AD8</t>
  </si>
  <si>
    <t>ST_1994_7</t>
  </si>
  <si>
    <t>VG12F728C1FDE27</t>
  </si>
  <si>
    <t>ST_1995_8</t>
  </si>
  <si>
    <t>VG1DDC548B32FB299E</t>
  </si>
  <si>
    <t>ST_1996_9</t>
  </si>
  <si>
    <t>VG28567607EB262C8</t>
  </si>
  <si>
    <t>ST_1997_10</t>
  </si>
  <si>
    <t>VG163051F2285E0C12</t>
  </si>
  <si>
    <t>ST_1998_11</t>
  </si>
  <si>
    <t>VG9279335E327E22</t>
  </si>
  <si>
    <t>ST_1999_12</t>
  </si>
  <si>
    <t>VG16B667B4389F45D7</t>
  </si>
  <si>
    <t>ST_2000_13</t>
  </si>
  <si>
    <t>VG2905BB4A3139F43C</t>
  </si>
  <si>
    <t>ST_2001_14</t>
  </si>
  <si>
    <t>VG11773CE31A28FA53</t>
  </si>
  <si>
    <t>ST_2002_15</t>
  </si>
  <si>
    <t>VG2F7F8C3116876EF</t>
  </si>
  <si>
    <t>ST_2003_16</t>
  </si>
  <si>
    <t>VG16935F111788C179</t>
  </si>
  <si>
    <t>ST_2004_17</t>
  </si>
  <si>
    <t>VG202A6038CBA9CF4</t>
  </si>
  <si>
    <t>ST_2005_18</t>
  </si>
  <si>
    <t>VG2FF0EF3016C5E50A</t>
  </si>
  <si>
    <t>ST_2006_19</t>
  </si>
  <si>
    <t>VG2288A3423B5B56D</t>
  </si>
  <si>
    <t>ST_2007_20</t>
  </si>
  <si>
    <t>VG10353702153F0C66</t>
  </si>
  <si>
    <t>ST_2008_21</t>
  </si>
  <si>
    <t>State Data</t>
  </si>
  <si>
    <t>Percentage changes, 1989 to 2008</t>
  </si>
  <si>
    <t>Friday, February 10, 2012</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</si>
</sst>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14" x14ac:knownFonts="1">
    <font>
      <sz val="11"/>
      <color theme="1"/>
      <name val="Calibri"/>
      <family val="2"/>
      <scheme val="minor"/>
    </font>
    <font>
      <sz val="10"/>
      <name val="Arial"/>
      <family val="2"/>
    </font>
    <font>
      <sz val="8"/>
      <color indexed="81"/>
      <name val="Tahoma"/>
      <family val="2"/>
    </font>
    <font>
      <b/>
      <sz val="11"/>
      <name val="Calibri"/>
      <family val="2"/>
    </font>
    <font>
      <sz val="11"/>
      <name val="Calibri"/>
      <family val="2"/>
    </font>
    <font>
      <i/>
      <sz val="11"/>
      <name val="Calibri"/>
      <family val="2"/>
    </font>
    <font>
      <sz val="11"/>
      <name val="Calibri"/>
      <family val="2"/>
      <scheme val="minor"/>
    </font>
    <font>
      <sz val="11"/>
      <color rgb="FF000000"/>
      <name val="Calibri"/>
      <family val="2"/>
      <scheme val="minor"/>
    </font>
    <font>
      <sz val="11"/>
      <color theme="1"/>
      <name val="Calibri"/>
      <family val="2"/>
      <scheme val="minor"/>
    </font>
    <font>
      <b/>
      <sz val="11"/>
      <color theme="1"/>
      <name val="Calibri"/>
      <family val="2"/>
      <scheme val="minor"/>
    </font>
    <font>
      <sz val="8"/>
      <color theme="1"/>
      <name val="Calibri"/>
      <family val="2"/>
      <scheme val="minor"/>
    </font>
    <font>
      <b/>
      <sz val="8"/>
      <color theme="1"/>
      <name val="Calibri"/>
      <family val="2"/>
      <scheme val="minor"/>
    </font>
    <font>
      <b/>
      <sz val="14"/>
      <color theme="1"/>
      <name val="Calibri"/>
      <family val="2"/>
      <scheme val="minor"/>
    </font>
    <font>
      <b/>
      <i/>
      <sz val="8"/>
      <color theme="1"/>
      <name val="Calibri"/>
      <family val="2"/>
      <scheme val="minor"/>
    </font>
  </fonts>
  <fills count="4">
    <fill>
      <patternFill patternType="none"/>
    </fill>
    <fill>
      <patternFill patternType="gray125"/>
    </fill>
    <fill>
      <patternFill patternType="solid">
        <fgColor rgb="FFFFFFFF"/>
        <bgColor indexed="64"/>
      </patternFill>
    </fill>
    <fill>
      <patternFill patternType="solid">
        <fgColor rgb="FFC0C0C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bottom style="thin">
        <color rgb="FF000000"/>
      </bottom>
      <diagonal/>
    </border>
    <border>
      <left/>
      <right/>
      <top/>
      <bottom style="double">
        <color rgb="FF000000"/>
      </bottom>
      <diagonal/>
    </border>
  </borders>
  <cellStyleXfs count="3">
    <xf numFmtId="0" fontId="0" fillId="0" borderId="0"/>
    <xf numFmtId="0" fontId="1" fillId="0" borderId="0"/>
    <xf numFmtId="9" fontId="8" fillId="0" borderId="0" applyFont="0" applyFill="0" applyBorder="0" applyAlignment="0" applyProtection="0"/>
  </cellStyleXfs>
  <cellXfs count="32">
    <xf numFmtId="0" fontId="0" fillId="0" borderId="0" xfId="0"/>
    <xf numFmtId="0" fontId="4" fillId="0" borderId="0" xfId="1" applyFont="1"/>
    <xf numFmtId="164" fontId="4" fillId="0" borderId="0" xfId="1" applyNumberFormat="1" applyFont="1"/>
    <xf numFmtId="0" fontId="4" fillId="0" borderId="0" xfId="1" applyFont="1" applyAlignment="1">
      <alignment horizontal="left"/>
    </xf>
    <xf numFmtId="0" fontId="4" fillId="0" borderId="0" xfId="1" applyFont="1" applyAlignment="1">
      <alignment horizontal="right"/>
    </xf>
    <xf numFmtId="0" fontId="3" fillId="0" borderId="0" xfId="1" applyFont="1" applyAlignment="1"/>
    <xf numFmtId="0" fontId="4" fillId="0" borderId="0" xfId="1" applyFont="1" applyAlignment="1"/>
    <xf numFmtId="0" fontId="5" fillId="0" borderId="0" xfId="1" applyFont="1" applyAlignment="1"/>
    <xf numFmtId="164" fontId="7" fillId="2" borderId="1" xfId="0" applyNumberFormat="1" applyFont="1" applyFill="1" applyBorder="1" applyAlignment="1">
      <alignment horizontal="right" wrapText="1"/>
    </xf>
    <xf numFmtId="164" fontId="4" fillId="0" borderId="1" xfId="1" applyNumberFormat="1" applyFont="1" applyBorder="1"/>
    <xf numFmtId="0" fontId="4" fillId="0" borderId="1" xfId="1" applyFont="1" applyBorder="1" applyAlignment="1"/>
    <xf numFmtId="0" fontId="4" fillId="0" borderId="1" xfId="1" applyFont="1" applyBorder="1"/>
    <xf numFmtId="164" fontId="6" fillId="0" borderId="1" xfId="1" applyNumberFormat="1" applyFont="1" applyBorder="1"/>
    <xf numFmtId="164" fontId="6" fillId="0" borderId="2" xfId="1" applyNumberFormat="1" applyFont="1" applyBorder="1"/>
    <xf numFmtId="164" fontId="7" fillId="2" borderId="2" xfId="0" applyNumberFormat="1" applyFont="1" applyFill="1" applyBorder="1" applyAlignment="1">
      <alignment horizontal="right" wrapText="1"/>
    </xf>
    <xf numFmtId="0" fontId="0" fillId="0" borderId="0" xfId="0" applyAlignment="1">
      <alignment horizontal="left"/>
    </xf>
    <xf numFmtId="0" fontId="9" fillId="0" borderId="0" xfId="0" applyFont="1" applyAlignment="1">
      <alignment horizontal="left"/>
    </xf>
    <xf numFmtId="0" fontId="10" fillId="3" borderId="0" xfId="0" applyFont="1" applyFill="1"/>
    <xf numFmtId="0" fontId="10" fillId="3" borderId="3" xfId="0" applyFont="1" applyFill="1" applyBorder="1"/>
    <xf numFmtId="0" fontId="12" fillId="3" borderId="0" xfId="0" applyFont="1" applyFill="1" applyAlignment="1">
      <alignment horizontal="right"/>
    </xf>
    <xf numFmtId="0" fontId="11" fillId="3" borderId="0" xfId="0" applyFont="1" applyFill="1" applyAlignment="1">
      <alignment horizontal="right"/>
    </xf>
    <xf numFmtId="0" fontId="11" fillId="3" borderId="3" xfId="0" applyFont="1" applyFill="1" applyBorder="1" applyAlignment="1">
      <alignment horizontal="right"/>
    </xf>
    <xf numFmtId="0" fontId="10" fillId="3" borderId="0" xfId="0" applyFont="1" applyFill="1" applyAlignment="1">
      <alignment horizontal="left"/>
    </xf>
    <xf numFmtId="0" fontId="10" fillId="3" borderId="3" xfId="0" applyFont="1" applyFill="1" applyBorder="1" applyAlignment="1">
      <alignment horizontal="left"/>
    </xf>
    <xf numFmtId="49" fontId="11" fillId="0" borderId="0" xfId="0" applyNumberFormat="1" applyFont="1" applyAlignment="1">
      <alignment horizontal="left"/>
    </xf>
    <xf numFmtId="49" fontId="11" fillId="0" borderId="4" xfId="0" applyNumberFormat="1" applyFont="1" applyFill="1" applyBorder="1" applyAlignment="1">
      <alignment horizontal="left"/>
    </xf>
    <xf numFmtId="49" fontId="13" fillId="0" borderId="0" xfId="0" applyNumberFormat="1" applyFont="1" applyAlignment="1">
      <alignment horizontal="left"/>
    </xf>
    <xf numFmtId="49" fontId="13" fillId="0" borderId="4" xfId="0" applyNumberFormat="1" applyFont="1" applyFill="1" applyBorder="1" applyAlignment="1">
      <alignment horizontal="left"/>
    </xf>
    <xf numFmtId="165" fontId="0" fillId="0" borderId="0" xfId="0" applyNumberFormat="1" applyAlignment="1">
      <alignment horizontal="left"/>
    </xf>
    <xf numFmtId="2" fontId="0" fillId="0" borderId="0" xfId="0" applyNumberFormat="1" applyAlignment="1">
      <alignment horizontal="left"/>
    </xf>
    <xf numFmtId="164" fontId="4" fillId="0" borderId="1" xfId="1" applyNumberFormat="1" applyFont="1" applyBorder="1" applyAlignment="1"/>
    <xf numFmtId="166" fontId="4" fillId="0" borderId="0" xfId="2" applyNumberFormat="1" applyFont="1"/>
  </cellXfs>
  <cellStyles count="3">
    <cellStyle name="Normal" xfId="0" builtinId="0" customBuiltin="1"/>
    <cellStyle name="Normal 2" xfId="1"/>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Means across states</a:t>
            </a:r>
          </a:p>
        </c:rich>
      </c:tx>
      <c:layout/>
      <c:overlay val="0"/>
    </c:title>
    <c:autoTitleDeleted val="0"/>
    <c:plotArea>
      <c:layout/>
      <c:lineChart>
        <c:grouping val="standard"/>
        <c:varyColors val="0"/>
        <c:ser>
          <c:idx val="0"/>
          <c:order val="0"/>
          <c:marker>
            <c:symbol val="none"/>
          </c:marker>
          <c:cat>
            <c:strRef>
              <c:f>'One Var Summary States'!$B$7:$U$7</c:f>
              <c:strCache>
                <c:ptCount val="20"/>
                <c:pt idx="0">
                  <c:v>1989</c:v>
                </c:pt>
                <c:pt idx="1">
                  <c:v>1990</c:v>
                </c:pt>
                <c:pt idx="2">
                  <c:v>1991</c:v>
                </c:pt>
                <c:pt idx="3">
                  <c:v>1992</c:v>
                </c:pt>
                <c:pt idx="4">
                  <c:v>1993</c:v>
                </c:pt>
                <c:pt idx="5">
                  <c:v>1994</c:v>
                </c:pt>
                <c:pt idx="6">
                  <c:v>1995</c:v>
                </c:pt>
                <c:pt idx="7">
                  <c:v>1996</c:v>
                </c:pt>
                <c:pt idx="8">
                  <c:v>1997</c:v>
                </c:pt>
                <c:pt idx="9">
                  <c:v>1998</c:v>
                </c:pt>
                <c:pt idx="10">
                  <c:v>1999</c:v>
                </c:pt>
                <c:pt idx="11">
                  <c:v>2000</c:v>
                </c:pt>
                <c:pt idx="12">
                  <c:v>2001</c:v>
                </c:pt>
                <c:pt idx="13">
                  <c:v>2002</c:v>
                </c:pt>
                <c:pt idx="14">
                  <c:v>2003</c:v>
                </c:pt>
                <c:pt idx="15">
                  <c:v>2004</c:v>
                </c:pt>
                <c:pt idx="16">
                  <c:v>2005</c:v>
                </c:pt>
                <c:pt idx="17">
                  <c:v>2006</c:v>
                </c:pt>
                <c:pt idx="18">
                  <c:v>2007</c:v>
                </c:pt>
                <c:pt idx="19">
                  <c:v>2008</c:v>
                </c:pt>
              </c:strCache>
            </c:strRef>
          </c:cat>
          <c:val>
            <c:numRef>
              <c:f>'One Var Summary States'!$B$9:$U$9</c:f>
              <c:numCache>
                <c:formatCode>0.000</c:formatCode>
                <c:ptCount val="20"/>
                <c:pt idx="0">
                  <c:v>72.177999999999997</c:v>
                </c:pt>
                <c:pt idx="1">
                  <c:v>78.691999999999993</c:v>
                </c:pt>
                <c:pt idx="2">
                  <c:v>79.366</c:v>
                </c:pt>
                <c:pt idx="3">
                  <c:v>74.74799999999999</c:v>
                </c:pt>
                <c:pt idx="4">
                  <c:v>77.73</c:v>
                </c:pt>
                <c:pt idx="5">
                  <c:v>70.106000000000009</c:v>
                </c:pt>
                <c:pt idx="6">
                  <c:v>75.436000000000007</c:v>
                </c:pt>
                <c:pt idx="7">
                  <c:v>76.988000000000014</c:v>
                </c:pt>
                <c:pt idx="8">
                  <c:v>82.918000000000006</c:v>
                </c:pt>
                <c:pt idx="9">
                  <c:v>65.213999999999984</c:v>
                </c:pt>
                <c:pt idx="10">
                  <c:v>74.95</c:v>
                </c:pt>
                <c:pt idx="11">
                  <c:v>108.86399999999999</c:v>
                </c:pt>
                <c:pt idx="12">
                  <c:v>104.84399999999999</c:v>
                </c:pt>
                <c:pt idx="13">
                  <c:v>96.34</c:v>
                </c:pt>
                <c:pt idx="14">
                  <c:v>115.96199999999997</c:v>
                </c:pt>
                <c:pt idx="15">
                  <c:v>143.71199999999993</c:v>
                </c:pt>
                <c:pt idx="16">
                  <c:v>183.97399999999999</c:v>
                </c:pt>
                <c:pt idx="17">
                  <c:v>213.65000000000006</c:v>
                </c:pt>
                <c:pt idx="18">
                  <c:v>235.46600000000007</c:v>
                </c:pt>
                <c:pt idx="19" formatCode="0.00">
                  <c:v>279.46199999999999</c:v>
                </c:pt>
              </c:numCache>
            </c:numRef>
          </c:val>
          <c:smooth val="0"/>
        </c:ser>
        <c:dLbls>
          <c:showLegendKey val="0"/>
          <c:showVal val="0"/>
          <c:showCatName val="0"/>
          <c:showSerName val="0"/>
          <c:showPercent val="0"/>
          <c:showBubbleSize val="0"/>
        </c:dLbls>
        <c:smooth val="0"/>
        <c:axId val="704077320"/>
        <c:axId val="704077712"/>
      </c:lineChart>
      <c:catAx>
        <c:axId val="704077320"/>
        <c:scaling>
          <c:orientation val="minMax"/>
        </c:scaling>
        <c:delete val="0"/>
        <c:axPos val="b"/>
        <c:numFmt formatCode="General" sourceLinked="0"/>
        <c:majorTickMark val="out"/>
        <c:minorTickMark val="none"/>
        <c:tickLblPos val="nextTo"/>
        <c:crossAx val="704077712"/>
        <c:crosses val="autoZero"/>
        <c:auto val="1"/>
        <c:lblAlgn val="ctr"/>
        <c:lblOffset val="100"/>
        <c:noMultiLvlLbl val="0"/>
      </c:catAx>
      <c:valAx>
        <c:axId val="704077712"/>
        <c:scaling>
          <c:orientation val="minMax"/>
        </c:scaling>
        <c:delete val="0"/>
        <c:axPos val="l"/>
        <c:majorGridlines/>
        <c:numFmt formatCode="0.000" sourceLinked="1"/>
        <c:majorTickMark val="out"/>
        <c:minorTickMark val="none"/>
        <c:tickLblPos val="nextTo"/>
        <c:crossAx val="704077320"/>
        <c:crosses val="autoZero"/>
        <c:crossBetween val="between"/>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Stdevs across states</a:t>
            </a:r>
          </a:p>
        </c:rich>
      </c:tx>
      <c:layout/>
      <c:overlay val="0"/>
    </c:title>
    <c:autoTitleDeleted val="0"/>
    <c:plotArea>
      <c:layout/>
      <c:lineChart>
        <c:grouping val="standard"/>
        <c:varyColors val="0"/>
        <c:ser>
          <c:idx val="0"/>
          <c:order val="0"/>
          <c:marker>
            <c:symbol val="none"/>
          </c:marker>
          <c:cat>
            <c:strRef>
              <c:f>'One Var Summary States'!$B$7:$U$7</c:f>
              <c:strCache>
                <c:ptCount val="20"/>
                <c:pt idx="0">
                  <c:v>1989</c:v>
                </c:pt>
                <c:pt idx="1">
                  <c:v>1990</c:v>
                </c:pt>
                <c:pt idx="2">
                  <c:v>1991</c:v>
                </c:pt>
                <c:pt idx="3">
                  <c:v>1992</c:v>
                </c:pt>
                <c:pt idx="4">
                  <c:v>1993</c:v>
                </c:pt>
                <c:pt idx="5">
                  <c:v>1994</c:v>
                </c:pt>
                <c:pt idx="6">
                  <c:v>1995</c:v>
                </c:pt>
                <c:pt idx="7">
                  <c:v>1996</c:v>
                </c:pt>
                <c:pt idx="8">
                  <c:v>1997</c:v>
                </c:pt>
                <c:pt idx="9">
                  <c:v>1998</c:v>
                </c:pt>
                <c:pt idx="10">
                  <c:v>1999</c:v>
                </c:pt>
                <c:pt idx="11">
                  <c:v>2000</c:v>
                </c:pt>
                <c:pt idx="12">
                  <c:v>2001</c:v>
                </c:pt>
                <c:pt idx="13">
                  <c:v>2002</c:v>
                </c:pt>
                <c:pt idx="14">
                  <c:v>2003</c:v>
                </c:pt>
                <c:pt idx="15">
                  <c:v>2004</c:v>
                </c:pt>
                <c:pt idx="16">
                  <c:v>2005</c:v>
                </c:pt>
                <c:pt idx="17">
                  <c:v>2006</c:v>
                </c:pt>
                <c:pt idx="18">
                  <c:v>2007</c:v>
                </c:pt>
                <c:pt idx="19">
                  <c:v>2008</c:v>
                </c:pt>
              </c:strCache>
            </c:strRef>
          </c:cat>
          <c:val>
            <c:numRef>
              <c:f>'One Var Summary States'!$B$10:$U$10</c:f>
              <c:numCache>
                <c:formatCode>0.000</c:formatCode>
                <c:ptCount val="20"/>
                <c:pt idx="0">
                  <c:v>5.8286516100927432</c:v>
                </c:pt>
                <c:pt idx="1">
                  <c:v>6.0541380687181263</c:v>
                </c:pt>
                <c:pt idx="2">
                  <c:v>7.2143454028648177</c:v>
                </c:pt>
                <c:pt idx="3">
                  <c:v>7.025964673398005</c:v>
                </c:pt>
                <c:pt idx="4">
                  <c:v>7.7373530779628537</c:v>
                </c:pt>
                <c:pt idx="5">
                  <c:v>9.3464914294518202</c:v>
                </c:pt>
                <c:pt idx="6">
                  <c:v>8.0277264425698203</c:v>
                </c:pt>
                <c:pt idx="7">
                  <c:v>8.0527505758426834</c:v>
                </c:pt>
                <c:pt idx="8">
                  <c:v>8.2589392509583472</c:v>
                </c:pt>
                <c:pt idx="9">
                  <c:v>8.9961898964540108</c:v>
                </c:pt>
                <c:pt idx="10">
                  <c:v>8.1696613973247842</c:v>
                </c:pt>
                <c:pt idx="11">
                  <c:v>7.091810741400022</c:v>
                </c:pt>
                <c:pt idx="12">
                  <c:v>9.769280465639552</c:v>
                </c:pt>
                <c:pt idx="13">
                  <c:v>6.9546343380159241</c:v>
                </c:pt>
                <c:pt idx="14">
                  <c:v>9.7702566130943715</c:v>
                </c:pt>
                <c:pt idx="15">
                  <c:v>8.3408177546525089</c:v>
                </c:pt>
                <c:pt idx="16">
                  <c:v>7.5922842143742715</c:v>
                </c:pt>
                <c:pt idx="17">
                  <c:v>8.9224378932657018</c:v>
                </c:pt>
                <c:pt idx="18">
                  <c:v>7.376261151249226</c:v>
                </c:pt>
                <c:pt idx="19" formatCode="0.00">
                  <c:v>11.898034308580698</c:v>
                </c:pt>
              </c:numCache>
            </c:numRef>
          </c:val>
          <c:smooth val="0"/>
        </c:ser>
        <c:dLbls>
          <c:showLegendKey val="0"/>
          <c:showVal val="0"/>
          <c:showCatName val="0"/>
          <c:showSerName val="0"/>
          <c:showPercent val="0"/>
          <c:showBubbleSize val="0"/>
        </c:dLbls>
        <c:smooth val="0"/>
        <c:axId val="704076536"/>
        <c:axId val="954642904"/>
      </c:lineChart>
      <c:catAx>
        <c:axId val="704076536"/>
        <c:scaling>
          <c:orientation val="minMax"/>
        </c:scaling>
        <c:delete val="0"/>
        <c:axPos val="b"/>
        <c:numFmt formatCode="General" sourceLinked="0"/>
        <c:majorTickMark val="out"/>
        <c:minorTickMark val="none"/>
        <c:tickLblPos val="nextTo"/>
        <c:crossAx val="954642904"/>
        <c:crosses val="autoZero"/>
        <c:auto val="1"/>
        <c:lblAlgn val="ctr"/>
        <c:lblOffset val="100"/>
        <c:noMultiLvlLbl val="0"/>
      </c:catAx>
      <c:valAx>
        <c:axId val="954642904"/>
        <c:scaling>
          <c:orientation val="minMax"/>
        </c:scaling>
        <c:delete val="0"/>
        <c:axPos val="l"/>
        <c:majorGridlines/>
        <c:numFmt formatCode="0.000" sourceLinked="1"/>
        <c:majorTickMark val="out"/>
        <c:minorTickMark val="none"/>
        <c:tickLblPos val="nextTo"/>
        <c:crossAx val="704076536"/>
        <c:crosses val="autoZero"/>
        <c:crossBetween val="between"/>
      </c:valAx>
    </c:plotArea>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371475</xdr:colOff>
      <xdr:row>1</xdr:row>
      <xdr:rowOff>9525</xdr:rowOff>
    </xdr:from>
    <xdr:to>
      <xdr:col>6</xdr:col>
      <xdr:colOff>361950</xdr:colOff>
      <xdr:row>9</xdr:row>
      <xdr:rowOff>9525</xdr:rowOff>
    </xdr:to>
    <xdr:sp macro="" textlink="">
      <xdr:nvSpPr>
        <xdr:cNvPr id="2" name="TextBox 1"/>
        <xdr:cNvSpPr txBox="1"/>
      </xdr:nvSpPr>
      <xdr:spPr>
        <a:xfrm>
          <a:off x="371475" y="200025"/>
          <a:ext cx="3648075" cy="15240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U.S. Energy Information Administration, Petroleum Marketing Monthly.</a:t>
          </a:r>
        </a:p>
        <a:p>
          <a:endParaRPr lang="en-US" sz="1100"/>
        </a:p>
        <a:p>
          <a:r>
            <a:rPr lang="en-US" sz="1100"/>
            <a:t>Each value is the average price, in cents per gallon, across all grades of gasoline.  This represents all refinery and gas plant operators' sales through company-operated retail outlets.  The gasoline prices exclude excise taxes.</a:t>
          </a: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28575</xdr:colOff>
      <xdr:row>14</xdr:row>
      <xdr:rowOff>76200</xdr:rowOff>
    </xdr:from>
    <xdr:to>
      <xdr:col>12</xdr:col>
      <xdr:colOff>419100</xdr:colOff>
      <xdr:row>17</xdr:row>
      <xdr:rowOff>47625</xdr:rowOff>
    </xdr:to>
    <xdr:sp macro="" textlink="">
      <xdr:nvSpPr>
        <xdr:cNvPr id="2" name="TextBox 1"/>
        <xdr:cNvSpPr txBox="1"/>
      </xdr:nvSpPr>
      <xdr:spPr>
        <a:xfrm>
          <a:off x="4895850" y="2743200"/>
          <a:ext cx="2333625" cy="54292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To get this data set, I deleted all rows except</a:t>
          </a:r>
          <a:r>
            <a:rPr lang="en-US" sz="1100" baseline="0"/>
            <a:t> those for states.</a:t>
          </a:r>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161925</xdr:colOff>
      <xdr:row>15</xdr:row>
      <xdr:rowOff>76200</xdr:rowOff>
    </xdr:from>
    <xdr:to>
      <xdr:col>7</xdr:col>
      <xdr:colOff>495300</xdr:colOff>
      <xdr:row>29</xdr:row>
      <xdr:rowOff>152400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0</xdr:colOff>
      <xdr:row>15</xdr:row>
      <xdr:rowOff>57150</xdr:rowOff>
    </xdr:from>
    <xdr:to>
      <xdr:col>13</xdr:col>
      <xdr:colOff>333375</xdr:colOff>
      <xdr:row>29</xdr:row>
      <xdr:rowOff>133350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19050</xdr:colOff>
      <xdr:row>31</xdr:row>
      <xdr:rowOff>76200</xdr:rowOff>
    </xdr:from>
    <xdr:to>
      <xdr:col>8</xdr:col>
      <xdr:colOff>314325</xdr:colOff>
      <xdr:row>38</xdr:row>
      <xdr:rowOff>171450</xdr:rowOff>
    </xdr:to>
    <xdr:sp macro="" textlink="">
      <xdr:nvSpPr>
        <xdr:cNvPr id="4" name="TextBox 3"/>
        <xdr:cNvSpPr txBox="1"/>
      </xdr:nvSpPr>
      <xdr:spPr>
        <a:xfrm>
          <a:off x="3686175" y="5638800"/>
          <a:ext cx="3686175" cy="14287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This is one way to answer part a. Each</a:t>
          </a:r>
          <a:r>
            <a:rPr lang="en-US" sz="1100" baseline="0"/>
            <a:t> variable in the previous sheet  corresponds to a year, so the summary measures above are for each year, summarized across states. The two time series graphs show how the means and stdevs have changed over time. Obviously, the mean has been trending upward, especially in recent years.  The standard deviation has remained relatively stable.</a:t>
          </a:r>
          <a:endParaRPr 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123825</xdr:colOff>
      <xdr:row>12</xdr:row>
      <xdr:rowOff>123825</xdr:rowOff>
    </xdr:from>
    <xdr:to>
      <xdr:col>11</xdr:col>
      <xdr:colOff>457200</xdr:colOff>
      <xdr:row>17</xdr:row>
      <xdr:rowOff>114300</xdr:rowOff>
    </xdr:to>
    <xdr:sp macro="" textlink="">
      <xdr:nvSpPr>
        <xdr:cNvPr id="2" name="TextBox 1"/>
        <xdr:cNvSpPr txBox="1"/>
      </xdr:nvSpPr>
      <xdr:spPr>
        <a:xfrm>
          <a:off x="2562225" y="2409825"/>
          <a:ext cx="4219575" cy="94297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Each of the numbers above</a:t>
          </a:r>
          <a:r>
            <a:rPr lang="en-US" sz="1100" baseline="0"/>
            <a:t> is the average over the states in its region. The percentage changes to the left show that New England has had the least amount of change, whereas East North Central, West South Central, and Mountain have had the largest changes.</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V64"/>
  <sheetViews>
    <sheetView tabSelected="1" workbookViewId="0"/>
  </sheetViews>
  <sheetFormatPr defaultRowHeight="15" x14ac:dyDescent="0.25"/>
  <cols>
    <col min="1" max="1" width="22" style="1" customWidth="1"/>
    <col min="2" max="13" width="7.28515625" style="1" bestFit="1" customWidth="1"/>
    <col min="14" max="16" width="8.85546875" style="2" customWidth="1"/>
    <col min="17" max="254" width="9.140625" style="1"/>
    <col min="255" max="255" width="22" style="1" customWidth="1"/>
    <col min="256" max="256" width="10.140625" style="1" customWidth="1"/>
    <col min="257" max="257" width="8.28515625" style="1" customWidth="1"/>
    <col min="258" max="269" width="7.28515625" style="1" bestFit="1" customWidth="1"/>
    <col min="270" max="272" width="8.85546875" style="1" customWidth="1"/>
    <col min="273" max="510" width="9.140625" style="1"/>
    <col min="511" max="511" width="22" style="1" customWidth="1"/>
    <col min="512" max="512" width="10.140625" style="1" customWidth="1"/>
    <col min="513" max="513" width="8.28515625" style="1" customWidth="1"/>
    <col min="514" max="525" width="7.28515625" style="1" bestFit="1" customWidth="1"/>
    <col min="526" max="528" width="8.85546875" style="1" customWidth="1"/>
    <col min="529" max="766" width="9.140625" style="1"/>
    <col min="767" max="767" width="22" style="1" customWidth="1"/>
    <col min="768" max="768" width="10.140625" style="1" customWidth="1"/>
    <col min="769" max="769" width="8.28515625" style="1" customWidth="1"/>
    <col min="770" max="781" width="7.28515625" style="1" bestFit="1" customWidth="1"/>
    <col min="782" max="784" width="8.85546875" style="1" customWidth="1"/>
    <col min="785" max="1022" width="9.140625" style="1"/>
    <col min="1023" max="1023" width="22" style="1" customWidth="1"/>
    <col min="1024" max="1024" width="10.140625" style="1" customWidth="1"/>
    <col min="1025" max="1025" width="8.28515625" style="1" customWidth="1"/>
    <col min="1026" max="1037" width="7.28515625" style="1" bestFit="1" customWidth="1"/>
    <col min="1038" max="1040" width="8.85546875" style="1" customWidth="1"/>
    <col min="1041" max="1278" width="9.140625" style="1"/>
    <col min="1279" max="1279" width="22" style="1" customWidth="1"/>
    <col min="1280" max="1280" width="10.140625" style="1" customWidth="1"/>
    <col min="1281" max="1281" width="8.28515625" style="1" customWidth="1"/>
    <col min="1282" max="1293" width="7.28515625" style="1" bestFit="1" customWidth="1"/>
    <col min="1294" max="1296" width="8.85546875" style="1" customWidth="1"/>
    <col min="1297" max="1534" width="9.140625" style="1"/>
    <col min="1535" max="1535" width="22" style="1" customWidth="1"/>
    <col min="1536" max="1536" width="10.140625" style="1" customWidth="1"/>
    <col min="1537" max="1537" width="8.28515625" style="1" customWidth="1"/>
    <col min="1538" max="1549" width="7.28515625" style="1" bestFit="1" customWidth="1"/>
    <col min="1550" max="1552" width="8.85546875" style="1" customWidth="1"/>
    <col min="1553" max="1790" width="9.140625" style="1"/>
    <col min="1791" max="1791" width="22" style="1" customWidth="1"/>
    <col min="1792" max="1792" width="10.140625" style="1" customWidth="1"/>
    <col min="1793" max="1793" width="8.28515625" style="1" customWidth="1"/>
    <col min="1794" max="1805" width="7.28515625" style="1" bestFit="1" customWidth="1"/>
    <col min="1806" max="1808" width="8.85546875" style="1" customWidth="1"/>
    <col min="1809" max="2046" width="9.140625" style="1"/>
    <col min="2047" max="2047" width="22" style="1" customWidth="1"/>
    <col min="2048" max="2048" width="10.140625" style="1" customWidth="1"/>
    <col min="2049" max="2049" width="8.28515625" style="1" customWidth="1"/>
    <col min="2050" max="2061" width="7.28515625" style="1" bestFit="1" customWidth="1"/>
    <col min="2062" max="2064" width="8.85546875" style="1" customWidth="1"/>
    <col min="2065" max="2302" width="9.140625" style="1"/>
    <col min="2303" max="2303" width="22" style="1" customWidth="1"/>
    <col min="2304" max="2304" width="10.140625" style="1" customWidth="1"/>
    <col min="2305" max="2305" width="8.28515625" style="1" customWidth="1"/>
    <col min="2306" max="2317" width="7.28515625" style="1" bestFit="1" customWidth="1"/>
    <col min="2318" max="2320" width="8.85546875" style="1" customWidth="1"/>
    <col min="2321" max="2558" width="9.140625" style="1"/>
    <col min="2559" max="2559" width="22" style="1" customWidth="1"/>
    <col min="2560" max="2560" width="10.140625" style="1" customWidth="1"/>
    <col min="2561" max="2561" width="8.28515625" style="1" customWidth="1"/>
    <col min="2562" max="2573" width="7.28515625" style="1" bestFit="1" customWidth="1"/>
    <col min="2574" max="2576" width="8.85546875" style="1" customWidth="1"/>
    <col min="2577" max="2814" width="9.140625" style="1"/>
    <col min="2815" max="2815" width="22" style="1" customWidth="1"/>
    <col min="2816" max="2816" width="10.140625" style="1" customWidth="1"/>
    <col min="2817" max="2817" width="8.28515625" style="1" customWidth="1"/>
    <col min="2818" max="2829" width="7.28515625" style="1" bestFit="1" customWidth="1"/>
    <col min="2830" max="2832" width="8.85546875" style="1" customWidth="1"/>
    <col min="2833" max="3070" width="9.140625" style="1"/>
    <col min="3071" max="3071" width="22" style="1" customWidth="1"/>
    <col min="3072" max="3072" width="10.140625" style="1" customWidth="1"/>
    <col min="3073" max="3073" width="8.28515625" style="1" customWidth="1"/>
    <col min="3074" max="3085" width="7.28515625" style="1" bestFit="1" customWidth="1"/>
    <col min="3086" max="3088" width="8.85546875" style="1" customWidth="1"/>
    <col min="3089" max="3326" width="9.140625" style="1"/>
    <col min="3327" max="3327" width="22" style="1" customWidth="1"/>
    <col min="3328" max="3328" width="10.140625" style="1" customWidth="1"/>
    <col min="3329" max="3329" width="8.28515625" style="1" customWidth="1"/>
    <col min="3330" max="3341" width="7.28515625" style="1" bestFit="1" customWidth="1"/>
    <col min="3342" max="3344" width="8.85546875" style="1" customWidth="1"/>
    <col min="3345" max="3582" width="9.140625" style="1"/>
    <col min="3583" max="3583" width="22" style="1" customWidth="1"/>
    <col min="3584" max="3584" width="10.140625" style="1" customWidth="1"/>
    <col min="3585" max="3585" width="8.28515625" style="1" customWidth="1"/>
    <col min="3586" max="3597" width="7.28515625" style="1" bestFit="1" customWidth="1"/>
    <col min="3598" max="3600" width="8.85546875" style="1" customWidth="1"/>
    <col min="3601" max="3838" width="9.140625" style="1"/>
    <col min="3839" max="3839" width="22" style="1" customWidth="1"/>
    <col min="3840" max="3840" width="10.140625" style="1" customWidth="1"/>
    <col min="3841" max="3841" width="8.28515625" style="1" customWidth="1"/>
    <col min="3842" max="3853" width="7.28515625" style="1" bestFit="1" customWidth="1"/>
    <col min="3854" max="3856" width="8.85546875" style="1" customWidth="1"/>
    <col min="3857" max="4094" width="9.140625" style="1"/>
    <col min="4095" max="4095" width="22" style="1" customWidth="1"/>
    <col min="4096" max="4096" width="10.140625" style="1" customWidth="1"/>
    <col min="4097" max="4097" width="8.28515625" style="1" customWidth="1"/>
    <col min="4098" max="4109" width="7.28515625" style="1" bestFit="1" customWidth="1"/>
    <col min="4110" max="4112" width="8.85546875" style="1" customWidth="1"/>
    <col min="4113" max="4350" width="9.140625" style="1"/>
    <col min="4351" max="4351" width="22" style="1" customWidth="1"/>
    <col min="4352" max="4352" width="10.140625" style="1" customWidth="1"/>
    <col min="4353" max="4353" width="8.28515625" style="1" customWidth="1"/>
    <col min="4354" max="4365" width="7.28515625" style="1" bestFit="1" customWidth="1"/>
    <col min="4366" max="4368" width="8.85546875" style="1" customWidth="1"/>
    <col min="4369" max="4606" width="9.140625" style="1"/>
    <col min="4607" max="4607" width="22" style="1" customWidth="1"/>
    <col min="4608" max="4608" width="10.140625" style="1" customWidth="1"/>
    <col min="4609" max="4609" width="8.28515625" style="1" customWidth="1"/>
    <col min="4610" max="4621" width="7.28515625" style="1" bestFit="1" customWidth="1"/>
    <col min="4622" max="4624" width="8.85546875" style="1" customWidth="1"/>
    <col min="4625" max="4862" width="9.140625" style="1"/>
    <col min="4863" max="4863" width="22" style="1" customWidth="1"/>
    <col min="4864" max="4864" width="10.140625" style="1" customWidth="1"/>
    <col min="4865" max="4865" width="8.28515625" style="1" customWidth="1"/>
    <col min="4866" max="4877" width="7.28515625" style="1" bestFit="1" customWidth="1"/>
    <col min="4878" max="4880" width="8.85546875" style="1" customWidth="1"/>
    <col min="4881" max="5118" width="9.140625" style="1"/>
    <col min="5119" max="5119" width="22" style="1" customWidth="1"/>
    <col min="5120" max="5120" width="10.140625" style="1" customWidth="1"/>
    <col min="5121" max="5121" width="8.28515625" style="1" customWidth="1"/>
    <col min="5122" max="5133" width="7.28515625" style="1" bestFit="1" customWidth="1"/>
    <col min="5134" max="5136" width="8.85546875" style="1" customWidth="1"/>
    <col min="5137" max="5374" width="9.140625" style="1"/>
    <col min="5375" max="5375" width="22" style="1" customWidth="1"/>
    <col min="5376" max="5376" width="10.140625" style="1" customWidth="1"/>
    <col min="5377" max="5377" width="8.28515625" style="1" customWidth="1"/>
    <col min="5378" max="5389" width="7.28515625" style="1" bestFit="1" customWidth="1"/>
    <col min="5390" max="5392" width="8.85546875" style="1" customWidth="1"/>
    <col min="5393" max="5630" width="9.140625" style="1"/>
    <col min="5631" max="5631" width="22" style="1" customWidth="1"/>
    <col min="5632" max="5632" width="10.140625" style="1" customWidth="1"/>
    <col min="5633" max="5633" width="8.28515625" style="1" customWidth="1"/>
    <col min="5634" max="5645" width="7.28515625" style="1" bestFit="1" customWidth="1"/>
    <col min="5646" max="5648" width="8.85546875" style="1" customWidth="1"/>
    <col min="5649" max="5886" width="9.140625" style="1"/>
    <col min="5887" max="5887" width="22" style="1" customWidth="1"/>
    <col min="5888" max="5888" width="10.140625" style="1" customWidth="1"/>
    <col min="5889" max="5889" width="8.28515625" style="1" customWidth="1"/>
    <col min="5890" max="5901" width="7.28515625" style="1" bestFit="1" customWidth="1"/>
    <col min="5902" max="5904" width="8.85546875" style="1" customWidth="1"/>
    <col min="5905" max="6142" width="9.140625" style="1"/>
    <col min="6143" max="6143" width="22" style="1" customWidth="1"/>
    <col min="6144" max="6144" width="10.140625" style="1" customWidth="1"/>
    <col min="6145" max="6145" width="8.28515625" style="1" customWidth="1"/>
    <col min="6146" max="6157" width="7.28515625" style="1" bestFit="1" customWidth="1"/>
    <col min="6158" max="6160" width="8.85546875" style="1" customWidth="1"/>
    <col min="6161" max="6398" width="9.140625" style="1"/>
    <col min="6399" max="6399" width="22" style="1" customWidth="1"/>
    <col min="6400" max="6400" width="10.140625" style="1" customWidth="1"/>
    <col min="6401" max="6401" width="8.28515625" style="1" customWidth="1"/>
    <col min="6402" max="6413" width="7.28515625" style="1" bestFit="1" customWidth="1"/>
    <col min="6414" max="6416" width="8.85546875" style="1" customWidth="1"/>
    <col min="6417" max="6654" width="9.140625" style="1"/>
    <col min="6655" max="6655" width="22" style="1" customWidth="1"/>
    <col min="6656" max="6656" width="10.140625" style="1" customWidth="1"/>
    <col min="6657" max="6657" width="8.28515625" style="1" customWidth="1"/>
    <col min="6658" max="6669" width="7.28515625" style="1" bestFit="1" customWidth="1"/>
    <col min="6670" max="6672" width="8.85546875" style="1" customWidth="1"/>
    <col min="6673" max="6910" width="9.140625" style="1"/>
    <col min="6911" max="6911" width="22" style="1" customWidth="1"/>
    <col min="6912" max="6912" width="10.140625" style="1" customWidth="1"/>
    <col min="6913" max="6913" width="8.28515625" style="1" customWidth="1"/>
    <col min="6914" max="6925" width="7.28515625" style="1" bestFit="1" customWidth="1"/>
    <col min="6926" max="6928" width="8.85546875" style="1" customWidth="1"/>
    <col min="6929" max="7166" width="9.140625" style="1"/>
    <col min="7167" max="7167" width="22" style="1" customWidth="1"/>
    <col min="7168" max="7168" width="10.140625" style="1" customWidth="1"/>
    <col min="7169" max="7169" width="8.28515625" style="1" customWidth="1"/>
    <col min="7170" max="7181" width="7.28515625" style="1" bestFit="1" customWidth="1"/>
    <col min="7182" max="7184" width="8.85546875" style="1" customWidth="1"/>
    <col min="7185" max="7422" width="9.140625" style="1"/>
    <col min="7423" max="7423" width="22" style="1" customWidth="1"/>
    <col min="7424" max="7424" width="10.140625" style="1" customWidth="1"/>
    <col min="7425" max="7425" width="8.28515625" style="1" customWidth="1"/>
    <col min="7426" max="7437" width="7.28515625" style="1" bestFit="1" customWidth="1"/>
    <col min="7438" max="7440" width="8.85546875" style="1" customWidth="1"/>
    <col min="7441" max="7678" width="9.140625" style="1"/>
    <col min="7679" max="7679" width="22" style="1" customWidth="1"/>
    <col min="7680" max="7680" width="10.140625" style="1" customWidth="1"/>
    <col min="7681" max="7681" width="8.28515625" style="1" customWidth="1"/>
    <col min="7682" max="7693" width="7.28515625" style="1" bestFit="1" customWidth="1"/>
    <col min="7694" max="7696" width="8.85546875" style="1" customWidth="1"/>
    <col min="7697" max="7934" width="9.140625" style="1"/>
    <col min="7935" max="7935" width="22" style="1" customWidth="1"/>
    <col min="7936" max="7936" width="10.140625" style="1" customWidth="1"/>
    <col min="7937" max="7937" width="8.28515625" style="1" customWidth="1"/>
    <col min="7938" max="7949" width="7.28515625" style="1" bestFit="1" customWidth="1"/>
    <col min="7950" max="7952" width="8.85546875" style="1" customWidth="1"/>
    <col min="7953" max="8190" width="9.140625" style="1"/>
    <col min="8191" max="8191" width="22" style="1" customWidth="1"/>
    <col min="8192" max="8192" width="10.140625" style="1" customWidth="1"/>
    <col min="8193" max="8193" width="8.28515625" style="1" customWidth="1"/>
    <col min="8194" max="8205" width="7.28515625" style="1" bestFit="1" customWidth="1"/>
    <col min="8206" max="8208" width="8.85546875" style="1" customWidth="1"/>
    <col min="8209" max="8446" width="9.140625" style="1"/>
    <col min="8447" max="8447" width="22" style="1" customWidth="1"/>
    <col min="8448" max="8448" width="10.140625" style="1" customWidth="1"/>
    <col min="8449" max="8449" width="8.28515625" style="1" customWidth="1"/>
    <col min="8450" max="8461" width="7.28515625" style="1" bestFit="1" customWidth="1"/>
    <col min="8462" max="8464" width="8.85546875" style="1" customWidth="1"/>
    <col min="8465" max="8702" width="9.140625" style="1"/>
    <col min="8703" max="8703" width="22" style="1" customWidth="1"/>
    <col min="8704" max="8704" width="10.140625" style="1" customWidth="1"/>
    <col min="8705" max="8705" width="8.28515625" style="1" customWidth="1"/>
    <col min="8706" max="8717" width="7.28515625" style="1" bestFit="1" customWidth="1"/>
    <col min="8718" max="8720" width="8.85546875" style="1" customWidth="1"/>
    <col min="8721" max="8958" width="9.140625" style="1"/>
    <col min="8959" max="8959" width="22" style="1" customWidth="1"/>
    <col min="8960" max="8960" width="10.140625" style="1" customWidth="1"/>
    <col min="8961" max="8961" width="8.28515625" style="1" customWidth="1"/>
    <col min="8962" max="8973" width="7.28515625" style="1" bestFit="1" customWidth="1"/>
    <col min="8974" max="8976" width="8.85546875" style="1" customWidth="1"/>
    <col min="8977" max="9214" width="9.140625" style="1"/>
    <col min="9215" max="9215" width="22" style="1" customWidth="1"/>
    <col min="9216" max="9216" width="10.140625" style="1" customWidth="1"/>
    <col min="9217" max="9217" width="8.28515625" style="1" customWidth="1"/>
    <col min="9218" max="9229" width="7.28515625" style="1" bestFit="1" customWidth="1"/>
    <col min="9230" max="9232" width="8.85546875" style="1" customWidth="1"/>
    <col min="9233" max="9470" width="9.140625" style="1"/>
    <col min="9471" max="9471" width="22" style="1" customWidth="1"/>
    <col min="9472" max="9472" width="10.140625" style="1" customWidth="1"/>
    <col min="9473" max="9473" width="8.28515625" style="1" customWidth="1"/>
    <col min="9474" max="9485" width="7.28515625" style="1" bestFit="1" customWidth="1"/>
    <col min="9486" max="9488" width="8.85546875" style="1" customWidth="1"/>
    <col min="9489" max="9726" width="9.140625" style="1"/>
    <col min="9727" max="9727" width="22" style="1" customWidth="1"/>
    <col min="9728" max="9728" width="10.140625" style="1" customWidth="1"/>
    <col min="9729" max="9729" width="8.28515625" style="1" customWidth="1"/>
    <col min="9730" max="9741" width="7.28515625" style="1" bestFit="1" customWidth="1"/>
    <col min="9742" max="9744" width="8.85546875" style="1" customWidth="1"/>
    <col min="9745" max="9982" width="9.140625" style="1"/>
    <col min="9983" max="9983" width="22" style="1" customWidth="1"/>
    <col min="9984" max="9984" width="10.140625" style="1" customWidth="1"/>
    <col min="9985" max="9985" width="8.28515625" style="1" customWidth="1"/>
    <col min="9986" max="9997" width="7.28515625" style="1" bestFit="1" customWidth="1"/>
    <col min="9998" max="10000" width="8.85546875" style="1" customWidth="1"/>
    <col min="10001" max="10238" width="9.140625" style="1"/>
    <col min="10239" max="10239" width="22" style="1" customWidth="1"/>
    <col min="10240" max="10240" width="10.140625" style="1" customWidth="1"/>
    <col min="10241" max="10241" width="8.28515625" style="1" customWidth="1"/>
    <col min="10242" max="10253" width="7.28515625" style="1" bestFit="1" customWidth="1"/>
    <col min="10254" max="10256" width="8.85546875" style="1" customWidth="1"/>
    <col min="10257" max="10494" width="9.140625" style="1"/>
    <col min="10495" max="10495" width="22" style="1" customWidth="1"/>
    <col min="10496" max="10496" width="10.140625" style="1" customWidth="1"/>
    <col min="10497" max="10497" width="8.28515625" style="1" customWidth="1"/>
    <col min="10498" max="10509" width="7.28515625" style="1" bestFit="1" customWidth="1"/>
    <col min="10510" max="10512" width="8.85546875" style="1" customWidth="1"/>
    <col min="10513" max="10750" width="9.140625" style="1"/>
    <col min="10751" max="10751" width="22" style="1" customWidth="1"/>
    <col min="10752" max="10752" width="10.140625" style="1" customWidth="1"/>
    <col min="10753" max="10753" width="8.28515625" style="1" customWidth="1"/>
    <col min="10754" max="10765" width="7.28515625" style="1" bestFit="1" customWidth="1"/>
    <col min="10766" max="10768" width="8.85546875" style="1" customWidth="1"/>
    <col min="10769" max="11006" width="9.140625" style="1"/>
    <col min="11007" max="11007" width="22" style="1" customWidth="1"/>
    <col min="11008" max="11008" width="10.140625" style="1" customWidth="1"/>
    <col min="11009" max="11009" width="8.28515625" style="1" customWidth="1"/>
    <col min="11010" max="11021" width="7.28515625" style="1" bestFit="1" customWidth="1"/>
    <col min="11022" max="11024" width="8.85546875" style="1" customWidth="1"/>
    <col min="11025" max="11262" width="9.140625" style="1"/>
    <col min="11263" max="11263" width="22" style="1" customWidth="1"/>
    <col min="11264" max="11264" width="10.140625" style="1" customWidth="1"/>
    <col min="11265" max="11265" width="8.28515625" style="1" customWidth="1"/>
    <col min="11266" max="11277" width="7.28515625" style="1" bestFit="1" customWidth="1"/>
    <col min="11278" max="11280" width="8.85546875" style="1" customWidth="1"/>
    <col min="11281" max="11518" width="9.140625" style="1"/>
    <col min="11519" max="11519" width="22" style="1" customWidth="1"/>
    <col min="11520" max="11520" width="10.140625" style="1" customWidth="1"/>
    <col min="11521" max="11521" width="8.28515625" style="1" customWidth="1"/>
    <col min="11522" max="11533" width="7.28515625" style="1" bestFit="1" customWidth="1"/>
    <col min="11534" max="11536" width="8.85546875" style="1" customWidth="1"/>
    <col min="11537" max="11774" width="9.140625" style="1"/>
    <col min="11775" max="11775" width="22" style="1" customWidth="1"/>
    <col min="11776" max="11776" width="10.140625" style="1" customWidth="1"/>
    <col min="11777" max="11777" width="8.28515625" style="1" customWidth="1"/>
    <col min="11778" max="11789" width="7.28515625" style="1" bestFit="1" customWidth="1"/>
    <col min="11790" max="11792" width="8.85546875" style="1" customWidth="1"/>
    <col min="11793" max="12030" width="9.140625" style="1"/>
    <col min="12031" max="12031" width="22" style="1" customWidth="1"/>
    <col min="12032" max="12032" width="10.140625" style="1" customWidth="1"/>
    <col min="12033" max="12033" width="8.28515625" style="1" customWidth="1"/>
    <col min="12034" max="12045" width="7.28515625" style="1" bestFit="1" customWidth="1"/>
    <col min="12046" max="12048" width="8.85546875" style="1" customWidth="1"/>
    <col min="12049" max="12286" width="9.140625" style="1"/>
    <col min="12287" max="12287" width="22" style="1" customWidth="1"/>
    <col min="12288" max="12288" width="10.140625" style="1" customWidth="1"/>
    <col min="12289" max="12289" width="8.28515625" style="1" customWidth="1"/>
    <col min="12290" max="12301" width="7.28515625" style="1" bestFit="1" customWidth="1"/>
    <col min="12302" max="12304" width="8.85546875" style="1" customWidth="1"/>
    <col min="12305" max="12542" width="9.140625" style="1"/>
    <col min="12543" max="12543" width="22" style="1" customWidth="1"/>
    <col min="12544" max="12544" width="10.140625" style="1" customWidth="1"/>
    <col min="12545" max="12545" width="8.28515625" style="1" customWidth="1"/>
    <col min="12546" max="12557" width="7.28515625" style="1" bestFit="1" customWidth="1"/>
    <col min="12558" max="12560" width="8.85546875" style="1" customWidth="1"/>
    <col min="12561" max="12798" width="9.140625" style="1"/>
    <col min="12799" max="12799" width="22" style="1" customWidth="1"/>
    <col min="12800" max="12800" width="10.140625" style="1" customWidth="1"/>
    <col min="12801" max="12801" width="8.28515625" style="1" customWidth="1"/>
    <col min="12802" max="12813" width="7.28515625" style="1" bestFit="1" customWidth="1"/>
    <col min="12814" max="12816" width="8.85546875" style="1" customWidth="1"/>
    <col min="12817" max="13054" width="9.140625" style="1"/>
    <col min="13055" max="13055" width="22" style="1" customWidth="1"/>
    <col min="13056" max="13056" width="10.140625" style="1" customWidth="1"/>
    <col min="13057" max="13057" width="8.28515625" style="1" customWidth="1"/>
    <col min="13058" max="13069" width="7.28515625" style="1" bestFit="1" customWidth="1"/>
    <col min="13070" max="13072" width="8.85546875" style="1" customWidth="1"/>
    <col min="13073" max="13310" width="9.140625" style="1"/>
    <col min="13311" max="13311" width="22" style="1" customWidth="1"/>
    <col min="13312" max="13312" width="10.140625" style="1" customWidth="1"/>
    <col min="13313" max="13313" width="8.28515625" style="1" customWidth="1"/>
    <col min="13314" max="13325" width="7.28515625" style="1" bestFit="1" customWidth="1"/>
    <col min="13326" max="13328" width="8.85546875" style="1" customWidth="1"/>
    <col min="13329" max="13566" width="9.140625" style="1"/>
    <col min="13567" max="13567" width="22" style="1" customWidth="1"/>
    <col min="13568" max="13568" width="10.140625" style="1" customWidth="1"/>
    <col min="13569" max="13569" width="8.28515625" style="1" customWidth="1"/>
    <col min="13570" max="13581" width="7.28515625" style="1" bestFit="1" customWidth="1"/>
    <col min="13582" max="13584" width="8.85546875" style="1" customWidth="1"/>
    <col min="13585" max="13822" width="9.140625" style="1"/>
    <col min="13823" max="13823" width="22" style="1" customWidth="1"/>
    <col min="13824" max="13824" width="10.140625" style="1" customWidth="1"/>
    <col min="13825" max="13825" width="8.28515625" style="1" customWidth="1"/>
    <col min="13826" max="13837" width="7.28515625" style="1" bestFit="1" customWidth="1"/>
    <col min="13838" max="13840" width="8.85546875" style="1" customWidth="1"/>
    <col min="13841" max="14078" width="9.140625" style="1"/>
    <col min="14079" max="14079" width="22" style="1" customWidth="1"/>
    <col min="14080" max="14080" width="10.140625" style="1" customWidth="1"/>
    <col min="14081" max="14081" width="8.28515625" style="1" customWidth="1"/>
    <col min="14082" max="14093" width="7.28515625" style="1" bestFit="1" customWidth="1"/>
    <col min="14094" max="14096" width="8.85546875" style="1" customWidth="1"/>
    <col min="14097" max="14334" width="9.140625" style="1"/>
    <col min="14335" max="14335" width="22" style="1" customWidth="1"/>
    <col min="14336" max="14336" width="10.140625" style="1" customWidth="1"/>
    <col min="14337" max="14337" width="8.28515625" style="1" customWidth="1"/>
    <col min="14338" max="14349" width="7.28515625" style="1" bestFit="1" customWidth="1"/>
    <col min="14350" max="14352" width="8.85546875" style="1" customWidth="1"/>
    <col min="14353" max="14590" width="9.140625" style="1"/>
    <col min="14591" max="14591" width="22" style="1" customWidth="1"/>
    <col min="14592" max="14592" width="10.140625" style="1" customWidth="1"/>
    <col min="14593" max="14593" width="8.28515625" style="1" customWidth="1"/>
    <col min="14594" max="14605" width="7.28515625" style="1" bestFit="1" customWidth="1"/>
    <col min="14606" max="14608" width="8.85546875" style="1" customWidth="1"/>
    <col min="14609" max="14846" width="9.140625" style="1"/>
    <col min="14847" max="14847" width="22" style="1" customWidth="1"/>
    <col min="14848" max="14848" width="10.140625" style="1" customWidth="1"/>
    <col min="14849" max="14849" width="8.28515625" style="1" customWidth="1"/>
    <col min="14850" max="14861" width="7.28515625" style="1" bestFit="1" customWidth="1"/>
    <col min="14862" max="14864" width="8.85546875" style="1" customWidth="1"/>
    <col min="14865" max="15102" width="9.140625" style="1"/>
    <col min="15103" max="15103" width="22" style="1" customWidth="1"/>
    <col min="15104" max="15104" width="10.140625" style="1" customWidth="1"/>
    <col min="15105" max="15105" width="8.28515625" style="1" customWidth="1"/>
    <col min="15106" max="15117" width="7.28515625" style="1" bestFit="1" customWidth="1"/>
    <col min="15118" max="15120" width="8.85546875" style="1" customWidth="1"/>
    <col min="15121" max="15358" width="9.140625" style="1"/>
    <col min="15359" max="15359" width="22" style="1" customWidth="1"/>
    <col min="15360" max="15360" width="10.140625" style="1" customWidth="1"/>
    <col min="15361" max="15361" width="8.28515625" style="1" customWidth="1"/>
    <col min="15362" max="15373" width="7.28515625" style="1" bestFit="1" customWidth="1"/>
    <col min="15374" max="15376" width="8.85546875" style="1" customWidth="1"/>
    <col min="15377" max="15614" width="9.140625" style="1"/>
    <col min="15615" max="15615" width="22" style="1" customWidth="1"/>
    <col min="15616" max="15616" width="10.140625" style="1" customWidth="1"/>
    <col min="15617" max="15617" width="8.28515625" style="1" customWidth="1"/>
    <col min="15618" max="15629" width="7.28515625" style="1" bestFit="1" customWidth="1"/>
    <col min="15630" max="15632" width="8.85546875" style="1" customWidth="1"/>
    <col min="15633" max="15870" width="9.140625" style="1"/>
    <col min="15871" max="15871" width="22" style="1" customWidth="1"/>
    <col min="15872" max="15872" width="10.140625" style="1" customWidth="1"/>
    <col min="15873" max="15873" width="8.28515625" style="1" customWidth="1"/>
    <col min="15874" max="15885" width="7.28515625" style="1" bestFit="1" customWidth="1"/>
    <col min="15886" max="15888" width="8.85546875" style="1" customWidth="1"/>
    <col min="15889" max="16126" width="9.140625" style="1"/>
    <col min="16127" max="16127" width="22" style="1" customWidth="1"/>
    <col min="16128" max="16128" width="10.140625" style="1" customWidth="1"/>
    <col min="16129" max="16129" width="8.28515625" style="1" customWidth="1"/>
    <col min="16130" max="16141" width="7.28515625" style="1" bestFit="1" customWidth="1"/>
    <col min="16142" max="16144" width="8.85546875" style="1" customWidth="1"/>
    <col min="16145" max="16384" width="9.140625" style="1"/>
  </cols>
  <sheetData>
    <row r="1" spans="1:22" x14ac:dyDescent="0.25">
      <c r="A1" s="3"/>
      <c r="B1" s="4">
        <v>1989</v>
      </c>
      <c r="C1" s="4">
        <v>1990</v>
      </c>
      <c r="D1" s="4">
        <v>1991</v>
      </c>
      <c r="E1" s="4">
        <v>1992</v>
      </c>
      <c r="F1" s="4">
        <v>1993</v>
      </c>
      <c r="G1" s="4">
        <v>1994</v>
      </c>
      <c r="H1" s="4">
        <v>1995</v>
      </c>
      <c r="I1" s="4">
        <v>1996</v>
      </c>
      <c r="J1" s="4">
        <v>1997</v>
      </c>
      <c r="K1" s="4">
        <v>1998</v>
      </c>
      <c r="L1" s="4">
        <v>1999</v>
      </c>
      <c r="M1" s="4">
        <v>2000</v>
      </c>
      <c r="N1" s="4">
        <v>2001</v>
      </c>
      <c r="O1" s="4">
        <v>2002</v>
      </c>
      <c r="P1" s="4">
        <v>2003</v>
      </c>
      <c r="Q1" s="4">
        <v>2004</v>
      </c>
      <c r="R1" s="4">
        <v>2005</v>
      </c>
      <c r="S1" s="4">
        <v>2006</v>
      </c>
      <c r="T1" s="4">
        <v>2007</v>
      </c>
      <c r="U1" s="4">
        <v>2008</v>
      </c>
      <c r="V1" s="4"/>
    </row>
    <row r="2" spans="1:22" x14ac:dyDescent="0.25">
      <c r="A2" s="5" t="s">
        <v>0</v>
      </c>
      <c r="B2" s="6"/>
      <c r="C2" s="6"/>
      <c r="D2" s="6"/>
      <c r="E2" s="6"/>
      <c r="F2" s="6"/>
    </row>
    <row r="3" spans="1:22" x14ac:dyDescent="0.25">
      <c r="A3" s="7" t="s">
        <v>1</v>
      </c>
      <c r="B3" s="6"/>
      <c r="C3" s="6"/>
      <c r="D3" s="6"/>
      <c r="E3" s="6"/>
      <c r="F3" s="6"/>
    </row>
    <row r="4" spans="1:22" x14ac:dyDescent="0.25">
      <c r="A4" s="6" t="s">
        <v>2</v>
      </c>
      <c r="B4" s="9">
        <v>80</v>
      </c>
      <c r="C4" s="9">
        <v>85.8</v>
      </c>
      <c r="D4" s="9">
        <v>90</v>
      </c>
      <c r="E4" s="9">
        <v>80.8</v>
      </c>
      <c r="F4" s="10">
        <v>80.900000000000006</v>
      </c>
      <c r="G4" s="10">
        <v>73.400000000000006</v>
      </c>
      <c r="H4" s="10">
        <v>78.599999999999994</v>
      </c>
      <c r="I4" s="9">
        <v>81</v>
      </c>
      <c r="J4" s="11">
        <v>86.2</v>
      </c>
      <c r="K4" s="11">
        <v>68.8</v>
      </c>
      <c r="L4" s="9">
        <v>78</v>
      </c>
      <c r="M4" s="11">
        <v>111.6</v>
      </c>
      <c r="N4" s="9">
        <v>102.6</v>
      </c>
      <c r="O4" s="9">
        <v>99.1</v>
      </c>
      <c r="P4" s="9">
        <v>116.9</v>
      </c>
      <c r="Q4" s="8">
        <v>146.6</v>
      </c>
      <c r="R4" s="8">
        <v>184.7</v>
      </c>
      <c r="S4" s="8">
        <v>214.6</v>
      </c>
      <c r="T4" s="8">
        <v>238.4</v>
      </c>
      <c r="U4" s="8">
        <v>284.8</v>
      </c>
    </row>
    <row r="5" spans="1:22" x14ac:dyDescent="0.25">
      <c r="A5" s="6" t="s">
        <v>3</v>
      </c>
      <c r="B5" s="9">
        <v>78.400000000000006</v>
      </c>
      <c r="C5" s="9">
        <v>84.9</v>
      </c>
      <c r="D5" s="9">
        <v>85.2</v>
      </c>
      <c r="E5" s="9">
        <v>79.599999999999994</v>
      </c>
      <c r="F5" s="10">
        <v>80.3</v>
      </c>
      <c r="G5" s="10">
        <v>72.2</v>
      </c>
      <c r="H5" s="10">
        <v>78.900000000000006</v>
      </c>
      <c r="I5" s="9">
        <v>79.5</v>
      </c>
      <c r="J5" s="11">
        <v>84.3</v>
      </c>
      <c r="K5" s="11">
        <v>65.400000000000006</v>
      </c>
      <c r="L5" s="11">
        <v>76.400000000000006</v>
      </c>
      <c r="M5" s="11">
        <v>113.6</v>
      </c>
      <c r="N5" s="9">
        <v>107.9</v>
      </c>
      <c r="O5" s="9">
        <v>98.1</v>
      </c>
      <c r="P5" s="9">
        <v>119.4</v>
      </c>
      <c r="Q5" s="8">
        <v>146.4</v>
      </c>
      <c r="R5" s="8">
        <v>184.3</v>
      </c>
      <c r="S5" s="8">
        <v>217</v>
      </c>
      <c r="T5" s="8">
        <v>234.8</v>
      </c>
      <c r="U5" s="8">
        <v>280.89999999999998</v>
      </c>
    </row>
    <row r="6" spans="1:22" x14ac:dyDescent="0.25">
      <c r="A6" s="6" t="s">
        <v>4</v>
      </c>
      <c r="B6" s="9">
        <v>80.599999999999994</v>
      </c>
      <c r="C6" s="9">
        <v>88.8</v>
      </c>
      <c r="D6" s="9">
        <v>91.6</v>
      </c>
      <c r="E6" s="9">
        <v>83.6</v>
      </c>
      <c r="F6" s="10">
        <v>82.7</v>
      </c>
      <c r="G6" s="10">
        <v>76.2</v>
      </c>
      <c r="H6" s="9">
        <v>80</v>
      </c>
      <c r="I6" s="9">
        <v>82.9</v>
      </c>
      <c r="J6" s="11">
        <v>85.5</v>
      </c>
      <c r="K6" s="11">
        <v>65.099999999999994</v>
      </c>
      <c r="L6" s="11">
        <v>77.599999999999994</v>
      </c>
      <c r="M6" s="11">
        <v>112.6</v>
      </c>
      <c r="N6" s="9">
        <v>104.9</v>
      </c>
      <c r="O6" s="9">
        <v>100</v>
      </c>
      <c r="P6" s="9">
        <v>119.9</v>
      </c>
      <c r="Q6" s="8">
        <v>150.6</v>
      </c>
      <c r="R6" s="8">
        <v>189.4</v>
      </c>
      <c r="S6" s="8">
        <v>219.6</v>
      </c>
      <c r="T6" s="8">
        <v>242</v>
      </c>
      <c r="U6" s="8">
        <v>292.5</v>
      </c>
    </row>
    <row r="7" spans="1:22" x14ac:dyDescent="0.25">
      <c r="A7" s="6" t="s">
        <v>5</v>
      </c>
      <c r="B7" s="9">
        <v>79.8</v>
      </c>
      <c r="C7" s="9">
        <v>82.9</v>
      </c>
      <c r="D7" s="9">
        <v>83.1</v>
      </c>
      <c r="E7" s="9">
        <v>76.5</v>
      </c>
      <c r="F7" s="9">
        <v>79</v>
      </c>
      <c r="G7" s="10">
        <v>69.2</v>
      </c>
      <c r="H7" s="10">
        <v>78.2</v>
      </c>
      <c r="I7" s="9">
        <v>80.3</v>
      </c>
      <c r="J7" s="11">
        <v>84.5</v>
      </c>
      <c r="K7" s="11">
        <v>63.6</v>
      </c>
      <c r="L7" s="9">
        <v>75</v>
      </c>
      <c r="M7" s="11">
        <v>114.7</v>
      </c>
      <c r="N7" s="9">
        <v>108.9</v>
      </c>
      <c r="O7" s="9">
        <v>98.2</v>
      </c>
      <c r="P7" s="9">
        <v>119.3</v>
      </c>
      <c r="Q7" s="8">
        <v>146.19999999999999</v>
      </c>
      <c r="R7" s="8">
        <v>184.7</v>
      </c>
      <c r="S7" s="8">
        <v>216.3</v>
      </c>
      <c r="T7" s="8">
        <v>236.6</v>
      </c>
      <c r="U7" s="8">
        <v>282</v>
      </c>
    </row>
    <row r="8" spans="1:22" x14ac:dyDescent="0.25">
      <c r="A8" s="6" t="s">
        <v>6</v>
      </c>
      <c r="B8" s="9">
        <v>77.3</v>
      </c>
      <c r="C8" s="9">
        <v>81.7</v>
      </c>
      <c r="D8" s="9">
        <v>82.9</v>
      </c>
      <c r="E8" s="9">
        <v>74.400000000000006</v>
      </c>
      <c r="F8" s="9">
        <v>77.599999999999994</v>
      </c>
      <c r="G8" s="10">
        <v>71.099999999999994</v>
      </c>
      <c r="H8" s="10">
        <v>73.599999999999994</v>
      </c>
      <c r="I8" s="9">
        <v>77.2</v>
      </c>
      <c r="J8" s="11">
        <v>80.8</v>
      </c>
      <c r="K8" s="11">
        <v>59.8</v>
      </c>
      <c r="L8" s="11">
        <v>71.2</v>
      </c>
      <c r="M8" s="11">
        <v>109.1</v>
      </c>
      <c r="N8" s="9">
        <v>103.3</v>
      </c>
      <c r="O8" s="9">
        <v>95.6</v>
      </c>
      <c r="P8" s="9">
        <v>115</v>
      </c>
      <c r="Q8" s="8">
        <v>142.6</v>
      </c>
      <c r="R8" s="8">
        <v>179.9</v>
      </c>
      <c r="S8" s="8">
        <v>214.5</v>
      </c>
      <c r="T8" s="8">
        <v>229.4</v>
      </c>
      <c r="U8" s="8">
        <v>272.89999999999998</v>
      </c>
    </row>
    <row r="9" spans="1:22" x14ac:dyDescent="0.25">
      <c r="A9" s="6" t="s">
        <v>7</v>
      </c>
      <c r="B9" s="9">
        <v>82.8</v>
      </c>
      <c r="C9" s="9">
        <v>82.9</v>
      </c>
      <c r="D9" s="9">
        <v>83</v>
      </c>
      <c r="E9" s="9">
        <v>78.3</v>
      </c>
      <c r="F9" s="9">
        <v>81.599999999999994</v>
      </c>
      <c r="G9" s="10">
        <v>72.3</v>
      </c>
      <c r="H9" s="10">
        <v>76.8</v>
      </c>
      <c r="I9" s="9">
        <v>80.099999999999994</v>
      </c>
      <c r="J9" s="11">
        <v>82.9</v>
      </c>
      <c r="K9" s="11">
        <v>63.3</v>
      </c>
      <c r="L9" s="11">
        <v>74.599999999999994</v>
      </c>
      <c r="M9" s="11">
        <v>113.3</v>
      </c>
      <c r="N9" s="9">
        <v>108.6</v>
      </c>
      <c r="O9" s="9">
        <v>98</v>
      </c>
      <c r="P9" s="9">
        <v>118</v>
      </c>
      <c r="Q9" s="8">
        <v>147.19999999999999</v>
      </c>
      <c r="R9" s="8">
        <v>185</v>
      </c>
      <c r="S9" s="8">
        <v>220</v>
      </c>
      <c r="T9" s="8">
        <v>238.1</v>
      </c>
      <c r="U9" s="8">
        <v>280.39999999999998</v>
      </c>
    </row>
    <row r="10" spans="1:22" x14ac:dyDescent="0.25">
      <c r="A10" s="7" t="s">
        <v>8</v>
      </c>
      <c r="B10" s="9"/>
      <c r="C10" s="9"/>
      <c r="D10" s="9"/>
      <c r="E10" s="9"/>
      <c r="F10" s="9"/>
      <c r="G10" s="10"/>
      <c r="H10" s="10"/>
      <c r="I10" s="9"/>
      <c r="J10" s="9"/>
      <c r="K10" s="9"/>
      <c r="L10" s="9"/>
      <c r="M10" s="9"/>
      <c r="N10" s="9"/>
      <c r="O10" s="9"/>
      <c r="P10" s="9"/>
      <c r="Q10" s="12"/>
      <c r="R10" s="12"/>
      <c r="S10" s="12"/>
      <c r="T10" s="12"/>
      <c r="U10" s="13"/>
    </row>
    <row r="11" spans="1:22" x14ac:dyDescent="0.25">
      <c r="A11" s="6" t="s">
        <v>9</v>
      </c>
      <c r="B11" s="9">
        <v>75.5</v>
      </c>
      <c r="C11" s="9">
        <v>78.7</v>
      </c>
      <c r="D11" s="9">
        <v>87</v>
      </c>
      <c r="E11" s="9">
        <v>74.8</v>
      </c>
      <c r="F11" s="9">
        <v>75.8</v>
      </c>
      <c r="G11" s="10">
        <v>68.7</v>
      </c>
      <c r="H11" s="10">
        <v>75.099999999999994</v>
      </c>
      <c r="I11" s="9">
        <v>77.400000000000006</v>
      </c>
      <c r="J11" s="11">
        <v>81.5</v>
      </c>
      <c r="K11" s="11">
        <v>62.6</v>
      </c>
      <c r="L11" s="9">
        <v>74</v>
      </c>
      <c r="M11" s="11">
        <v>109.1</v>
      </c>
      <c r="N11" s="9">
        <v>102.8</v>
      </c>
      <c r="O11" s="9">
        <v>95.1</v>
      </c>
      <c r="P11" s="9">
        <v>116.6</v>
      </c>
      <c r="Q11" s="8">
        <v>145.5</v>
      </c>
      <c r="R11" s="8">
        <v>182.4</v>
      </c>
      <c r="S11" s="8">
        <v>214.3</v>
      </c>
      <c r="T11" s="8">
        <v>233.5</v>
      </c>
      <c r="U11" s="8">
        <v>282.8</v>
      </c>
    </row>
    <row r="12" spans="1:22" x14ac:dyDescent="0.25">
      <c r="A12" s="6" t="s">
        <v>10</v>
      </c>
      <c r="B12" s="9">
        <v>79.099999999999994</v>
      </c>
      <c r="C12" s="9">
        <v>80.3</v>
      </c>
      <c r="D12" s="9">
        <v>83.4</v>
      </c>
      <c r="E12" s="9">
        <v>77.8</v>
      </c>
      <c r="F12" s="9">
        <v>85.4</v>
      </c>
      <c r="G12" s="10">
        <v>74.900000000000006</v>
      </c>
      <c r="H12" s="10">
        <v>81.400000000000006</v>
      </c>
      <c r="I12" s="9">
        <v>81.900000000000006</v>
      </c>
      <c r="J12" s="11">
        <v>81.5</v>
      </c>
      <c r="K12" s="11">
        <v>63.5</v>
      </c>
      <c r="L12" s="11">
        <v>74.7</v>
      </c>
      <c r="M12" s="11">
        <v>112.8</v>
      </c>
      <c r="N12" s="9">
        <v>108.2</v>
      </c>
      <c r="O12" s="9">
        <v>98.4</v>
      </c>
      <c r="P12" s="9">
        <v>120.5</v>
      </c>
      <c r="Q12" s="8">
        <v>148.1</v>
      </c>
      <c r="R12" s="8">
        <v>186.8</v>
      </c>
      <c r="S12" s="8">
        <v>218.8</v>
      </c>
      <c r="T12" s="8">
        <v>231.7</v>
      </c>
      <c r="U12" s="8">
        <v>281.7</v>
      </c>
    </row>
    <row r="13" spans="1:22" x14ac:dyDescent="0.25">
      <c r="A13" s="6" t="s">
        <v>11</v>
      </c>
      <c r="B13" s="9">
        <v>70.7</v>
      </c>
      <c r="C13" s="9">
        <v>77.099999999999994</v>
      </c>
      <c r="D13" s="9">
        <v>82.4</v>
      </c>
      <c r="E13" s="9">
        <v>72.5</v>
      </c>
      <c r="F13" s="9">
        <v>72.3</v>
      </c>
      <c r="G13" s="10">
        <v>65.7</v>
      </c>
      <c r="H13" s="10">
        <v>73.5</v>
      </c>
      <c r="I13" s="9">
        <v>74.900000000000006</v>
      </c>
      <c r="J13" s="11">
        <v>77.3</v>
      </c>
      <c r="K13" s="11">
        <v>58.1</v>
      </c>
      <c r="L13" s="11">
        <v>67.7</v>
      </c>
      <c r="M13" s="11">
        <v>103.1</v>
      </c>
      <c r="N13" s="9">
        <v>95.3</v>
      </c>
      <c r="O13" s="9">
        <v>88.7</v>
      </c>
      <c r="P13" s="9">
        <v>109.2</v>
      </c>
      <c r="Q13" s="8">
        <v>138.1</v>
      </c>
      <c r="R13" s="8">
        <v>176.8</v>
      </c>
      <c r="S13" s="8">
        <v>208.3</v>
      </c>
      <c r="T13" s="8">
        <v>228.2</v>
      </c>
      <c r="U13" s="8">
        <v>274.2</v>
      </c>
    </row>
    <row r="14" spans="1:22" x14ac:dyDescent="0.25">
      <c r="A14" s="5" t="s">
        <v>12</v>
      </c>
      <c r="B14" s="9"/>
      <c r="C14" s="9"/>
      <c r="D14" s="9"/>
      <c r="E14" s="9"/>
      <c r="F14" s="9"/>
      <c r="G14" s="10"/>
      <c r="H14" s="10"/>
      <c r="I14" s="9"/>
      <c r="J14" s="9"/>
      <c r="K14" s="9"/>
      <c r="L14" s="9"/>
      <c r="M14" s="9"/>
      <c r="N14" s="9"/>
      <c r="O14" s="9"/>
      <c r="P14" s="9"/>
      <c r="Q14" s="12"/>
      <c r="R14" s="12"/>
      <c r="S14" s="12"/>
      <c r="T14" s="12"/>
      <c r="U14" s="13"/>
    </row>
    <row r="15" spans="1:22" x14ac:dyDescent="0.25">
      <c r="A15" s="7" t="s">
        <v>13</v>
      </c>
      <c r="B15" s="9"/>
      <c r="C15" s="9"/>
      <c r="D15" s="9"/>
      <c r="E15" s="9"/>
      <c r="F15" s="9"/>
      <c r="G15" s="10"/>
      <c r="H15" s="10"/>
      <c r="I15" s="9"/>
      <c r="J15" s="9"/>
      <c r="K15" s="9"/>
      <c r="L15" s="9"/>
      <c r="M15" s="9"/>
      <c r="N15" s="9"/>
      <c r="O15" s="9"/>
      <c r="P15" s="9"/>
      <c r="Q15" s="12"/>
      <c r="R15" s="12"/>
      <c r="S15" s="12"/>
      <c r="T15" s="12"/>
      <c r="U15" s="13"/>
    </row>
    <row r="16" spans="1:22" x14ac:dyDescent="0.25">
      <c r="A16" s="6" t="s">
        <v>14</v>
      </c>
      <c r="B16" s="9">
        <v>71.7</v>
      </c>
      <c r="C16" s="9">
        <v>75</v>
      </c>
      <c r="D16" s="9">
        <v>73.400000000000006</v>
      </c>
      <c r="E16" s="9">
        <v>73.3</v>
      </c>
      <c r="F16" s="9">
        <v>71.400000000000006</v>
      </c>
      <c r="G16" s="10">
        <v>66.3</v>
      </c>
      <c r="H16" s="10">
        <v>69.599999999999994</v>
      </c>
      <c r="I16" s="9">
        <v>74.099999999999994</v>
      </c>
      <c r="J16" s="11">
        <v>77.099999999999994</v>
      </c>
      <c r="K16" s="11">
        <v>63.4</v>
      </c>
      <c r="L16" s="11">
        <v>73.900000000000006</v>
      </c>
      <c r="M16" s="11">
        <v>107.4</v>
      </c>
      <c r="N16" s="9">
        <v>102</v>
      </c>
      <c r="O16" s="9">
        <v>94.8</v>
      </c>
      <c r="P16" s="9">
        <v>111.7</v>
      </c>
      <c r="Q16" s="8">
        <v>138.4</v>
      </c>
      <c r="R16" s="8">
        <v>177</v>
      </c>
      <c r="S16" s="8">
        <v>204.5</v>
      </c>
      <c r="T16" s="8">
        <v>231.5</v>
      </c>
      <c r="U16" s="14">
        <v>269.5</v>
      </c>
    </row>
    <row r="17" spans="1:21" x14ac:dyDescent="0.25">
      <c r="A17" s="6" t="s">
        <v>15</v>
      </c>
      <c r="B17" s="9">
        <v>66.8</v>
      </c>
      <c r="C17" s="9">
        <v>75.099999999999994</v>
      </c>
      <c r="D17" s="9">
        <v>77.3</v>
      </c>
      <c r="E17" s="9">
        <v>68.900000000000006</v>
      </c>
      <c r="F17" s="9">
        <v>71.599999999999994</v>
      </c>
      <c r="G17" s="10">
        <v>65.099999999999994</v>
      </c>
      <c r="H17" s="10">
        <v>70.400000000000006</v>
      </c>
      <c r="I17" s="9">
        <v>71.5</v>
      </c>
      <c r="J17" s="11">
        <v>77.900000000000006</v>
      </c>
      <c r="K17" s="11">
        <v>61.7</v>
      </c>
      <c r="L17" s="11">
        <v>70.7</v>
      </c>
      <c r="M17" s="11">
        <v>106.9</v>
      </c>
      <c r="N17" s="9">
        <v>103.3</v>
      </c>
      <c r="O17" s="9">
        <v>93.7</v>
      </c>
      <c r="P17" s="9">
        <v>111.2</v>
      </c>
      <c r="Q17" s="8">
        <v>138.5</v>
      </c>
      <c r="R17" s="8">
        <v>177</v>
      </c>
      <c r="S17" s="8">
        <v>205.2</v>
      </c>
      <c r="T17" s="8">
        <v>230.5</v>
      </c>
      <c r="U17" s="14">
        <v>273.39999999999998</v>
      </c>
    </row>
    <row r="18" spans="1:21" x14ac:dyDescent="0.25">
      <c r="A18" s="6" t="s">
        <v>16</v>
      </c>
      <c r="B18" s="9">
        <v>69.2</v>
      </c>
      <c r="C18" s="9">
        <v>73.2</v>
      </c>
      <c r="D18" s="9">
        <v>76.099999999999994</v>
      </c>
      <c r="E18" s="9">
        <v>69.599999999999994</v>
      </c>
      <c r="F18" s="9">
        <v>74.099999999999994</v>
      </c>
      <c r="G18" s="9">
        <v>64</v>
      </c>
      <c r="H18" s="9">
        <v>72</v>
      </c>
      <c r="I18" s="9">
        <v>76.900000000000006</v>
      </c>
      <c r="J18" s="11">
        <v>81.2</v>
      </c>
      <c r="K18" s="11">
        <v>65.2</v>
      </c>
      <c r="L18" s="11">
        <v>74.3</v>
      </c>
      <c r="M18" s="11">
        <v>112.3</v>
      </c>
      <c r="N18" s="9">
        <v>111</v>
      </c>
      <c r="O18" s="9">
        <v>99.8</v>
      </c>
      <c r="P18" s="9">
        <v>116.1</v>
      </c>
      <c r="Q18" s="8">
        <v>143.30000000000001</v>
      </c>
      <c r="R18" s="8">
        <v>181.7</v>
      </c>
      <c r="S18" s="8">
        <v>211.9</v>
      </c>
      <c r="T18" s="8">
        <v>237.5</v>
      </c>
      <c r="U18" s="14">
        <v>279.2</v>
      </c>
    </row>
    <row r="19" spans="1:21" x14ac:dyDescent="0.25">
      <c r="A19" s="6" t="s">
        <v>17</v>
      </c>
      <c r="B19" s="9">
        <v>66.900000000000006</v>
      </c>
      <c r="C19" s="9">
        <v>72.7</v>
      </c>
      <c r="D19" s="9">
        <v>74</v>
      </c>
      <c r="E19" s="9">
        <v>67.2</v>
      </c>
      <c r="F19" s="9">
        <v>70.8</v>
      </c>
      <c r="G19" s="10">
        <v>63.7</v>
      </c>
      <c r="H19" s="10">
        <v>69.099999999999994</v>
      </c>
      <c r="I19" s="9">
        <v>71.7</v>
      </c>
      <c r="J19" s="9">
        <v>76</v>
      </c>
      <c r="K19" s="11">
        <v>60.4</v>
      </c>
      <c r="L19" s="11">
        <v>70.400000000000006</v>
      </c>
      <c r="M19" s="11">
        <v>108.4</v>
      </c>
      <c r="N19" s="9">
        <v>102.5</v>
      </c>
      <c r="O19" s="9">
        <v>94.4</v>
      </c>
      <c r="P19" s="9">
        <v>113.3</v>
      </c>
      <c r="Q19" s="8">
        <v>140.69999999999999</v>
      </c>
      <c r="R19" s="8">
        <v>181.3</v>
      </c>
      <c r="S19" s="8">
        <v>209.5</v>
      </c>
      <c r="T19" s="8">
        <v>235.7</v>
      </c>
      <c r="U19" s="14">
        <v>273.8</v>
      </c>
    </row>
    <row r="20" spans="1:21" x14ac:dyDescent="0.25">
      <c r="A20" s="6" t="s">
        <v>18</v>
      </c>
      <c r="B20" s="9">
        <v>67.5</v>
      </c>
      <c r="C20" s="9">
        <v>72.8</v>
      </c>
      <c r="D20" s="9">
        <v>76.8</v>
      </c>
      <c r="E20" s="9">
        <v>69.2</v>
      </c>
      <c r="F20" s="9">
        <v>73.5</v>
      </c>
      <c r="G20" s="10">
        <v>64.400000000000006</v>
      </c>
      <c r="H20" s="10">
        <v>70.5</v>
      </c>
      <c r="I20" s="9">
        <v>75.5</v>
      </c>
      <c r="J20" s="9">
        <v>80</v>
      </c>
      <c r="K20" s="11">
        <v>63.5</v>
      </c>
      <c r="L20" s="11">
        <v>73.7</v>
      </c>
      <c r="M20" s="11">
        <v>108.7</v>
      </c>
      <c r="N20" s="9">
        <v>105.4</v>
      </c>
      <c r="O20" s="9">
        <v>96.3</v>
      </c>
      <c r="P20" s="9">
        <v>114.7</v>
      </c>
      <c r="Q20" s="8">
        <v>142</v>
      </c>
      <c r="R20" s="8">
        <v>181.9</v>
      </c>
      <c r="S20" s="8">
        <v>211.9</v>
      </c>
      <c r="T20" s="8">
        <v>236.3</v>
      </c>
      <c r="U20" s="14">
        <v>273.89999999999998</v>
      </c>
    </row>
    <row r="21" spans="1:21" x14ac:dyDescent="0.25">
      <c r="A21" s="7" t="s">
        <v>19</v>
      </c>
      <c r="B21" s="9"/>
      <c r="C21" s="9"/>
      <c r="D21" s="9"/>
      <c r="E21" s="9"/>
      <c r="F21" s="9"/>
      <c r="G21" s="10"/>
      <c r="H21" s="10"/>
      <c r="I21" s="9"/>
      <c r="J21" s="9"/>
      <c r="K21" s="9"/>
      <c r="L21" s="9"/>
      <c r="M21" s="9"/>
      <c r="N21" s="9"/>
      <c r="O21" s="9"/>
      <c r="P21" s="9"/>
      <c r="Q21" s="12"/>
      <c r="R21" s="12"/>
      <c r="S21" s="12"/>
      <c r="T21" s="12"/>
      <c r="U21" s="13"/>
    </row>
    <row r="22" spans="1:21" x14ac:dyDescent="0.25">
      <c r="A22" s="6" t="s">
        <v>20</v>
      </c>
      <c r="B22" s="9">
        <v>69.5</v>
      </c>
      <c r="C22" s="9">
        <v>77.900000000000006</v>
      </c>
      <c r="D22" s="9">
        <v>77.599999999999994</v>
      </c>
      <c r="E22" s="9">
        <v>73</v>
      </c>
      <c r="F22" s="9">
        <v>81.099999999999994</v>
      </c>
      <c r="G22" s="10">
        <v>72.400000000000006</v>
      </c>
      <c r="H22" s="10">
        <v>76.2</v>
      </c>
      <c r="I22" s="9">
        <v>77.3</v>
      </c>
      <c r="J22" s="11">
        <v>88.8</v>
      </c>
      <c r="K22" s="11">
        <v>70.7</v>
      </c>
      <c r="L22" s="11">
        <v>78.7</v>
      </c>
      <c r="M22" s="11">
        <v>112.9</v>
      </c>
      <c r="N22" s="9">
        <v>110.6</v>
      </c>
      <c r="O22" s="9">
        <v>101</v>
      </c>
      <c r="P22" s="9">
        <v>116.4</v>
      </c>
      <c r="Q22" s="8">
        <v>143.1</v>
      </c>
      <c r="R22" s="8">
        <v>179.1</v>
      </c>
      <c r="S22" s="8">
        <v>211.4</v>
      </c>
      <c r="T22" s="8">
        <v>237.5</v>
      </c>
      <c r="U22" s="14">
        <v>270</v>
      </c>
    </row>
    <row r="23" spans="1:21" x14ac:dyDescent="0.25">
      <c r="A23" s="6" t="s">
        <v>21</v>
      </c>
      <c r="B23" s="9">
        <v>67.900000000000006</v>
      </c>
      <c r="C23" s="9">
        <v>75.900000000000006</v>
      </c>
      <c r="D23" s="9">
        <v>80</v>
      </c>
      <c r="E23" s="9">
        <v>70.900000000000006</v>
      </c>
      <c r="F23" s="9">
        <v>72.900000000000006</v>
      </c>
      <c r="G23" s="10">
        <v>62.2</v>
      </c>
      <c r="H23" s="10">
        <v>67.5</v>
      </c>
      <c r="I23" s="9">
        <v>71.3</v>
      </c>
      <c r="J23" s="11">
        <v>79.2</v>
      </c>
      <c r="K23" s="9">
        <v>61</v>
      </c>
      <c r="L23" s="11">
        <v>69.3</v>
      </c>
      <c r="M23" s="11">
        <v>106.3</v>
      </c>
      <c r="N23" s="9">
        <v>101.8</v>
      </c>
      <c r="O23" s="9">
        <v>91.7</v>
      </c>
      <c r="P23" s="9">
        <v>108.4</v>
      </c>
      <c r="Q23" s="8">
        <v>136.19999999999999</v>
      </c>
      <c r="R23" s="8">
        <v>176.2</v>
      </c>
      <c r="S23" s="8">
        <v>206.9</v>
      </c>
      <c r="T23" s="8">
        <v>235.6</v>
      </c>
      <c r="U23" s="14">
        <v>272.3</v>
      </c>
    </row>
    <row r="24" spans="1:21" x14ac:dyDescent="0.25">
      <c r="A24" s="6" t="s">
        <v>22</v>
      </c>
      <c r="B24" s="9">
        <v>66</v>
      </c>
      <c r="C24" s="9">
        <v>71.8</v>
      </c>
      <c r="D24" s="9">
        <v>75.599999999999994</v>
      </c>
      <c r="E24" s="9">
        <v>68.400000000000006</v>
      </c>
      <c r="F24" s="9">
        <v>69.8</v>
      </c>
      <c r="G24" s="10">
        <v>61.5</v>
      </c>
      <c r="H24" s="10">
        <v>67.900000000000006</v>
      </c>
      <c r="I24" s="9">
        <v>70.5</v>
      </c>
      <c r="J24" s="11">
        <v>76.5</v>
      </c>
      <c r="K24" s="9">
        <v>58</v>
      </c>
      <c r="L24" s="11">
        <v>67.900000000000006</v>
      </c>
      <c r="M24" s="11">
        <v>104.3</v>
      </c>
      <c r="N24" s="9">
        <v>99.2</v>
      </c>
      <c r="O24" s="9">
        <v>92.7</v>
      </c>
      <c r="P24" s="9">
        <v>109.1</v>
      </c>
      <c r="Q24" s="8">
        <v>136.6</v>
      </c>
      <c r="R24" s="8">
        <v>178.8</v>
      </c>
      <c r="S24" s="8">
        <v>204.9</v>
      </c>
      <c r="T24" s="8">
        <v>228.6</v>
      </c>
      <c r="U24" s="14">
        <v>267.5</v>
      </c>
    </row>
    <row r="25" spans="1:21" x14ac:dyDescent="0.25">
      <c r="A25" s="6" t="s">
        <v>23</v>
      </c>
      <c r="B25" s="9">
        <v>72.5</v>
      </c>
      <c r="C25" s="9">
        <v>85.3</v>
      </c>
      <c r="D25" s="9">
        <v>82.8</v>
      </c>
      <c r="E25" s="9">
        <v>79.099999999999994</v>
      </c>
      <c r="F25" s="9">
        <v>85.1</v>
      </c>
      <c r="G25" s="10">
        <v>74.400000000000006</v>
      </c>
      <c r="H25" s="10">
        <v>76.3</v>
      </c>
      <c r="I25" s="9">
        <v>81.7</v>
      </c>
      <c r="J25" s="11">
        <v>88.9</v>
      </c>
      <c r="K25" s="11">
        <v>71.099999999999994</v>
      </c>
      <c r="L25" s="11">
        <v>79.099999999999994</v>
      </c>
      <c r="M25" s="11">
        <v>113.6</v>
      </c>
      <c r="N25" s="9">
        <v>110.9</v>
      </c>
      <c r="O25" s="9">
        <v>101.3</v>
      </c>
      <c r="P25" s="9">
        <v>116.6</v>
      </c>
      <c r="Q25" s="8">
        <v>145.69999999999999</v>
      </c>
      <c r="R25" s="8">
        <v>184.8</v>
      </c>
      <c r="S25" s="8">
        <v>213.5</v>
      </c>
      <c r="T25" s="8">
        <v>245.1</v>
      </c>
      <c r="U25" s="14">
        <v>278.2</v>
      </c>
    </row>
    <row r="26" spans="1:21" x14ac:dyDescent="0.25">
      <c r="A26" s="6" t="s">
        <v>24</v>
      </c>
      <c r="B26" s="9">
        <v>70.5</v>
      </c>
      <c r="C26" s="9">
        <v>83.1</v>
      </c>
      <c r="D26" s="9">
        <v>80.8</v>
      </c>
      <c r="E26" s="9">
        <v>75.900000000000006</v>
      </c>
      <c r="F26" s="9">
        <v>78.2</v>
      </c>
      <c r="G26" s="10">
        <v>70.900000000000006</v>
      </c>
      <c r="H26" s="10">
        <v>74.599999999999994</v>
      </c>
      <c r="I26" s="9">
        <v>75.2</v>
      </c>
      <c r="J26" s="11">
        <v>86.2</v>
      </c>
      <c r="K26" s="11">
        <v>69.7</v>
      </c>
      <c r="L26" s="11">
        <v>76.8</v>
      </c>
      <c r="M26" s="11">
        <v>114.3</v>
      </c>
      <c r="N26" s="9">
        <v>110.6</v>
      </c>
      <c r="O26" s="9">
        <v>98.3</v>
      </c>
      <c r="P26" s="9">
        <v>115</v>
      </c>
      <c r="Q26" s="8">
        <v>142.6</v>
      </c>
      <c r="R26" s="8">
        <v>183.8</v>
      </c>
      <c r="S26" s="8">
        <v>214.3</v>
      </c>
      <c r="T26" s="8">
        <v>240.6</v>
      </c>
      <c r="U26" s="14">
        <v>274.10000000000002</v>
      </c>
    </row>
    <row r="27" spans="1:21" x14ac:dyDescent="0.25">
      <c r="A27" s="6" t="s">
        <v>25</v>
      </c>
      <c r="B27" s="9">
        <v>70.3</v>
      </c>
      <c r="C27" s="9">
        <v>73</v>
      </c>
      <c r="D27" s="9">
        <v>80.900000000000006</v>
      </c>
      <c r="E27" s="9">
        <v>73.5</v>
      </c>
      <c r="F27" s="9">
        <v>76.8</v>
      </c>
      <c r="G27" s="10">
        <v>69.3</v>
      </c>
      <c r="H27" s="10">
        <v>71.099999999999994</v>
      </c>
      <c r="I27" s="9">
        <v>70.400000000000006</v>
      </c>
      <c r="J27" s="11">
        <v>79.8</v>
      </c>
      <c r="K27" s="11">
        <v>61.9</v>
      </c>
      <c r="L27" s="11">
        <v>69.5</v>
      </c>
      <c r="M27" s="11">
        <v>106.1</v>
      </c>
      <c r="N27" s="9">
        <v>101.2</v>
      </c>
      <c r="O27" s="9">
        <v>92.1</v>
      </c>
      <c r="P27" s="9">
        <v>108.6</v>
      </c>
      <c r="Q27" s="8">
        <v>137.69999999999999</v>
      </c>
      <c r="R27" s="8">
        <v>178.5</v>
      </c>
      <c r="S27" s="8">
        <v>209.2</v>
      </c>
      <c r="T27" s="8">
        <v>236.3</v>
      </c>
      <c r="U27" s="14">
        <v>266.8</v>
      </c>
    </row>
    <row r="28" spans="1:21" x14ac:dyDescent="0.25">
      <c r="A28" s="6" t="s">
        <v>26</v>
      </c>
      <c r="B28" s="9">
        <v>66.2</v>
      </c>
      <c r="C28" s="9">
        <v>73</v>
      </c>
      <c r="D28" s="9">
        <v>76.2</v>
      </c>
      <c r="E28" s="9">
        <v>72.2</v>
      </c>
      <c r="F28" s="9">
        <v>73.099999999999994</v>
      </c>
      <c r="G28" s="10">
        <v>62.5</v>
      </c>
      <c r="H28" s="10">
        <v>68.400000000000006</v>
      </c>
      <c r="I28" s="9">
        <v>68.7</v>
      </c>
      <c r="J28" s="11">
        <v>77.8</v>
      </c>
      <c r="K28" s="11">
        <v>60.1</v>
      </c>
      <c r="L28" s="9">
        <v>67</v>
      </c>
      <c r="M28" s="11">
        <v>102.5</v>
      </c>
      <c r="N28" s="9">
        <v>99.2</v>
      </c>
      <c r="O28" s="9">
        <v>92.6</v>
      </c>
      <c r="P28" s="9">
        <v>109.2</v>
      </c>
      <c r="Q28" s="8">
        <v>136</v>
      </c>
      <c r="R28" s="8">
        <v>175.1</v>
      </c>
      <c r="S28" s="8">
        <v>203.6</v>
      </c>
      <c r="T28" s="8">
        <v>231.2</v>
      </c>
      <c r="U28" s="14">
        <v>267.60000000000002</v>
      </c>
    </row>
    <row r="29" spans="1:21" x14ac:dyDescent="0.25">
      <c r="A29" s="5" t="s">
        <v>27</v>
      </c>
      <c r="B29" s="9"/>
      <c r="C29" s="9"/>
      <c r="D29" s="9"/>
      <c r="E29" s="9"/>
      <c r="F29" s="9"/>
      <c r="G29" s="10"/>
      <c r="H29" s="10"/>
      <c r="I29" s="9"/>
      <c r="J29" s="9"/>
      <c r="K29" s="9"/>
      <c r="L29" s="9"/>
      <c r="M29" s="9"/>
      <c r="N29" s="9"/>
      <c r="O29" s="9"/>
      <c r="P29" s="9"/>
      <c r="Q29" s="12"/>
      <c r="R29" s="12"/>
      <c r="S29" s="12"/>
      <c r="T29" s="12"/>
      <c r="U29" s="13"/>
    </row>
    <row r="30" spans="1:21" x14ac:dyDescent="0.25">
      <c r="A30" s="7" t="s">
        <v>28</v>
      </c>
      <c r="B30" s="9"/>
      <c r="C30" s="9"/>
      <c r="D30" s="9"/>
      <c r="E30" s="9"/>
      <c r="F30" s="9"/>
      <c r="G30" s="10"/>
      <c r="H30" s="10"/>
      <c r="I30" s="9"/>
      <c r="J30" s="9"/>
      <c r="K30" s="9"/>
      <c r="L30" s="9"/>
      <c r="M30" s="9"/>
      <c r="N30" s="9"/>
      <c r="O30" s="9"/>
      <c r="P30" s="9"/>
      <c r="Q30" s="12"/>
      <c r="R30" s="12"/>
      <c r="S30" s="12"/>
      <c r="T30" s="12"/>
      <c r="U30" s="13"/>
    </row>
    <row r="31" spans="1:21" x14ac:dyDescent="0.25">
      <c r="A31" s="6" t="s">
        <v>29</v>
      </c>
      <c r="B31" s="9">
        <v>73</v>
      </c>
      <c r="C31" s="9">
        <v>81</v>
      </c>
      <c r="D31" s="9">
        <v>83.8</v>
      </c>
      <c r="E31" s="9">
        <v>74</v>
      </c>
      <c r="F31" s="9">
        <v>74.8</v>
      </c>
      <c r="G31" s="10">
        <v>65.2</v>
      </c>
      <c r="H31" s="10">
        <v>75.5</v>
      </c>
      <c r="I31" s="9">
        <v>75.3</v>
      </c>
      <c r="J31" s="11">
        <v>78.5</v>
      </c>
      <c r="K31" s="11">
        <v>60.4</v>
      </c>
      <c r="L31" s="11">
        <v>71.2</v>
      </c>
      <c r="M31" s="11">
        <v>108.5</v>
      </c>
      <c r="N31" s="9">
        <v>100.6</v>
      </c>
      <c r="O31" s="9">
        <v>92.9</v>
      </c>
      <c r="P31" s="9">
        <v>112.5</v>
      </c>
      <c r="Q31" s="8">
        <v>141.9</v>
      </c>
      <c r="R31" s="8">
        <v>180.9</v>
      </c>
      <c r="S31" s="8">
        <v>215.1</v>
      </c>
      <c r="T31" s="8">
        <v>227.2</v>
      </c>
      <c r="U31" s="14">
        <v>275.5</v>
      </c>
    </row>
    <row r="32" spans="1:21" x14ac:dyDescent="0.25">
      <c r="A32" s="6" t="s">
        <v>30</v>
      </c>
      <c r="B32" s="9">
        <v>74.7</v>
      </c>
      <c r="C32" s="9">
        <v>84.4</v>
      </c>
      <c r="D32" s="9">
        <v>78.8</v>
      </c>
      <c r="E32" s="9">
        <v>78.099999999999994</v>
      </c>
      <c r="F32" s="9">
        <v>75.5</v>
      </c>
      <c r="G32" s="9">
        <v>66</v>
      </c>
      <c r="H32" s="10">
        <v>76.2</v>
      </c>
      <c r="I32" s="9">
        <v>77.599999999999994</v>
      </c>
      <c r="J32" s="11">
        <v>81.2</v>
      </c>
      <c r="K32" s="9">
        <v>63</v>
      </c>
      <c r="L32" s="11">
        <v>70.2</v>
      </c>
      <c r="M32" s="11">
        <v>104.1</v>
      </c>
      <c r="N32" s="9">
        <v>102.2</v>
      </c>
      <c r="O32" s="9">
        <v>94</v>
      </c>
      <c r="P32" s="9">
        <v>112.7</v>
      </c>
      <c r="Q32" s="8">
        <v>141.6</v>
      </c>
      <c r="R32" s="8">
        <v>183.2</v>
      </c>
      <c r="S32" s="8">
        <v>216.1</v>
      </c>
      <c r="T32" s="8">
        <v>231.3</v>
      </c>
      <c r="U32" s="14">
        <v>280.8</v>
      </c>
    </row>
    <row r="33" spans="1:21" x14ac:dyDescent="0.25">
      <c r="A33" s="6" t="s">
        <v>31</v>
      </c>
      <c r="B33" s="9">
        <v>74.5</v>
      </c>
      <c r="C33" s="9">
        <v>80.5</v>
      </c>
      <c r="D33" s="9">
        <v>77.2</v>
      </c>
      <c r="E33" s="9">
        <v>73.3</v>
      </c>
      <c r="F33" s="9">
        <v>75.400000000000006</v>
      </c>
      <c r="G33" s="10">
        <v>67.7</v>
      </c>
      <c r="H33" s="10">
        <v>74.5</v>
      </c>
      <c r="I33" s="9">
        <v>73.7</v>
      </c>
      <c r="J33" s="11">
        <v>78.599999999999994</v>
      </c>
      <c r="K33" s="11">
        <v>61.1</v>
      </c>
      <c r="L33" s="11">
        <v>69.3</v>
      </c>
      <c r="M33" s="11">
        <v>104.3</v>
      </c>
      <c r="N33" s="9">
        <v>99.9</v>
      </c>
      <c r="O33" s="9">
        <v>93.6</v>
      </c>
      <c r="P33" s="9">
        <v>110.9</v>
      </c>
      <c r="Q33" s="8">
        <v>138.6</v>
      </c>
      <c r="R33" s="8">
        <v>181.2</v>
      </c>
      <c r="S33" s="8">
        <v>210.7</v>
      </c>
      <c r="T33" s="8">
        <v>229</v>
      </c>
      <c r="U33" s="14">
        <v>275.39999999999998</v>
      </c>
    </row>
    <row r="34" spans="1:21" x14ac:dyDescent="0.25">
      <c r="A34" s="6" t="s">
        <v>32</v>
      </c>
      <c r="B34" s="9">
        <v>75.099999999999994</v>
      </c>
      <c r="C34" s="9">
        <v>81</v>
      </c>
      <c r="D34" s="9">
        <v>81.099999999999994</v>
      </c>
      <c r="E34" s="9">
        <v>76.8</v>
      </c>
      <c r="F34" s="9">
        <v>78.400000000000006</v>
      </c>
      <c r="G34" s="10">
        <v>71.900000000000006</v>
      </c>
      <c r="H34" s="10">
        <v>76.2</v>
      </c>
      <c r="I34" s="9">
        <v>75.599999999999994</v>
      </c>
      <c r="J34" s="11">
        <v>79.900000000000006</v>
      </c>
      <c r="K34" s="11">
        <v>61.7</v>
      </c>
      <c r="L34" s="11">
        <v>68.900000000000006</v>
      </c>
      <c r="M34" s="11">
        <v>105.5</v>
      </c>
      <c r="N34" s="9">
        <v>99.2</v>
      </c>
      <c r="O34" s="9">
        <v>94</v>
      </c>
      <c r="P34" s="9">
        <v>113.3</v>
      </c>
      <c r="Q34" s="8">
        <v>141.9</v>
      </c>
      <c r="R34" s="8">
        <v>183</v>
      </c>
      <c r="S34" s="8">
        <v>211.6</v>
      </c>
      <c r="T34" s="8">
        <v>234</v>
      </c>
      <c r="U34" s="14">
        <v>282.5</v>
      </c>
    </row>
    <row r="35" spans="1:21" x14ac:dyDescent="0.25">
      <c r="A35" s="6" t="s">
        <v>33</v>
      </c>
      <c r="B35" s="9">
        <v>69.400000000000006</v>
      </c>
      <c r="C35" s="9">
        <v>76.3</v>
      </c>
      <c r="D35" s="9">
        <v>76.2</v>
      </c>
      <c r="E35" s="9">
        <v>69.900000000000006</v>
      </c>
      <c r="F35" s="9">
        <v>71.2</v>
      </c>
      <c r="G35" s="10">
        <v>63.9</v>
      </c>
      <c r="H35" s="10">
        <v>69.400000000000006</v>
      </c>
      <c r="I35" s="9">
        <v>69.7</v>
      </c>
      <c r="J35" s="11">
        <v>74.7</v>
      </c>
      <c r="K35" s="11">
        <v>57.1</v>
      </c>
      <c r="L35" s="11">
        <v>65.7</v>
      </c>
      <c r="M35" s="11">
        <v>100.2</v>
      </c>
      <c r="N35" s="9">
        <v>94.3</v>
      </c>
      <c r="O35" s="9">
        <v>89.9</v>
      </c>
      <c r="P35" s="9">
        <v>106.7</v>
      </c>
      <c r="Q35" s="8">
        <v>136.5</v>
      </c>
      <c r="R35" s="8">
        <v>179.8</v>
      </c>
      <c r="S35" s="8">
        <v>205</v>
      </c>
      <c r="T35" s="8">
        <v>226.4</v>
      </c>
      <c r="U35" s="14">
        <v>274.3</v>
      </c>
    </row>
    <row r="36" spans="1:21" x14ac:dyDescent="0.25">
      <c r="A36" s="6" t="s">
        <v>34</v>
      </c>
      <c r="B36" s="9">
        <v>69.099999999999994</v>
      </c>
      <c r="C36" s="9">
        <v>78.900000000000006</v>
      </c>
      <c r="D36" s="9">
        <v>75.599999999999994</v>
      </c>
      <c r="E36" s="9">
        <v>69.3</v>
      </c>
      <c r="F36" s="9">
        <v>69.8</v>
      </c>
      <c r="G36" s="10">
        <v>63.2</v>
      </c>
      <c r="H36" s="10">
        <v>67.400000000000006</v>
      </c>
      <c r="I36" s="9">
        <v>69</v>
      </c>
      <c r="J36" s="11">
        <v>72.599999999999994</v>
      </c>
      <c r="K36" s="11">
        <v>55.5</v>
      </c>
      <c r="L36" s="11">
        <v>64.7</v>
      </c>
      <c r="M36" s="11">
        <v>99.8</v>
      </c>
      <c r="N36" s="9">
        <v>94.9</v>
      </c>
      <c r="O36" s="9">
        <v>91.7</v>
      </c>
      <c r="P36" s="9">
        <v>108.6</v>
      </c>
      <c r="Q36" s="8">
        <v>138.9</v>
      </c>
      <c r="R36" s="8">
        <v>181.1</v>
      </c>
      <c r="S36" s="8">
        <v>206.6</v>
      </c>
      <c r="T36" s="8">
        <v>226.6</v>
      </c>
      <c r="U36" s="14">
        <v>276.2</v>
      </c>
    </row>
    <row r="37" spans="1:21" x14ac:dyDescent="0.25">
      <c r="A37" s="6" t="s">
        <v>35</v>
      </c>
      <c r="B37" s="9">
        <v>68.5</v>
      </c>
      <c r="C37" s="9">
        <v>74.599999999999994</v>
      </c>
      <c r="D37" s="9">
        <v>75.900000000000006</v>
      </c>
      <c r="E37" s="9">
        <v>70.8</v>
      </c>
      <c r="F37" s="9">
        <v>72.599999999999994</v>
      </c>
      <c r="G37" s="10">
        <v>63.5</v>
      </c>
      <c r="H37" s="10">
        <v>68.7</v>
      </c>
      <c r="I37" s="9">
        <v>68.900000000000006</v>
      </c>
      <c r="J37" s="11">
        <v>71.8</v>
      </c>
      <c r="K37" s="11">
        <v>55.3</v>
      </c>
      <c r="L37" s="11">
        <v>66.5</v>
      </c>
      <c r="M37" s="11">
        <v>99.1</v>
      </c>
      <c r="N37" s="9">
        <v>94.8</v>
      </c>
      <c r="O37" s="9">
        <v>90.1</v>
      </c>
      <c r="P37" s="9">
        <v>108</v>
      </c>
      <c r="Q37" s="8">
        <v>138.9</v>
      </c>
      <c r="R37" s="8">
        <v>183.4</v>
      </c>
      <c r="S37" s="8">
        <v>208.9</v>
      </c>
      <c r="T37" s="8">
        <v>228.5</v>
      </c>
      <c r="U37" s="14">
        <v>279.3</v>
      </c>
    </row>
    <row r="38" spans="1:21" x14ac:dyDescent="0.25">
      <c r="A38" s="6" t="s">
        <v>36</v>
      </c>
      <c r="B38" s="9">
        <v>73.400000000000006</v>
      </c>
      <c r="C38" s="9">
        <v>80.900000000000006</v>
      </c>
      <c r="D38" s="9">
        <v>78.5</v>
      </c>
      <c r="E38" s="9">
        <v>72.2</v>
      </c>
      <c r="F38" s="9">
        <v>77.2</v>
      </c>
      <c r="G38" s="10">
        <v>68.2</v>
      </c>
      <c r="H38" s="10">
        <v>73.2</v>
      </c>
      <c r="I38" s="9">
        <v>72.8</v>
      </c>
      <c r="J38" s="11">
        <v>78.2</v>
      </c>
      <c r="K38" s="11">
        <v>60.5</v>
      </c>
      <c r="L38" s="11">
        <v>69.2</v>
      </c>
      <c r="M38" s="11">
        <v>100.8</v>
      </c>
      <c r="N38" s="9">
        <v>97.2</v>
      </c>
      <c r="O38" s="9">
        <v>93.3</v>
      </c>
      <c r="P38" s="9">
        <v>110.7</v>
      </c>
      <c r="Q38" s="8">
        <v>140</v>
      </c>
      <c r="R38" s="8">
        <v>182</v>
      </c>
      <c r="S38" s="8">
        <v>210.9</v>
      </c>
      <c r="T38" s="8">
        <v>229.5</v>
      </c>
      <c r="U38" s="14">
        <v>276.2</v>
      </c>
    </row>
    <row r="39" spans="1:21" x14ac:dyDescent="0.25">
      <c r="A39" s="7" t="s">
        <v>37</v>
      </c>
      <c r="B39" s="9"/>
      <c r="C39" s="9"/>
      <c r="D39" s="9"/>
      <c r="E39" s="9"/>
      <c r="F39" s="9"/>
      <c r="G39" s="10"/>
      <c r="H39" s="10"/>
      <c r="I39" s="9"/>
      <c r="J39" s="9"/>
      <c r="K39" s="9"/>
      <c r="L39" s="9"/>
      <c r="M39" s="9"/>
      <c r="N39" s="9"/>
      <c r="O39" s="9"/>
      <c r="P39" s="9"/>
      <c r="Q39" s="12"/>
      <c r="R39" s="12"/>
      <c r="S39" s="12"/>
      <c r="T39" s="12"/>
      <c r="U39" s="13"/>
    </row>
    <row r="40" spans="1:21" x14ac:dyDescent="0.25">
      <c r="A40" s="6" t="s">
        <v>38</v>
      </c>
      <c r="B40" s="9">
        <v>70.599999999999994</v>
      </c>
      <c r="C40" s="9">
        <v>76.599999999999994</v>
      </c>
      <c r="D40" s="9">
        <v>78.599999999999994</v>
      </c>
      <c r="E40" s="9">
        <v>72.3</v>
      </c>
      <c r="F40" s="9">
        <v>72.900000000000006</v>
      </c>
      <c r="G40" s="10">
        <v>68.900000000000006</v>
      </c>
      <c r="H40" s="10">
        <v>73.099999999999994</v>
      </c>
      <c r="I40" s="9">
        <v>75.3</v>
      </c>
      <c r="J40" s="11">
        <v>79.599999999999994</v>
      </c>
      <c r="K40" s="11">
        <v>61.8</v>
      </c>
      <c r="L40" s="11">
        <v>73.5</v>
      </c>
      <c r="M40" s="11">
        <v>106.4</v>
      </c>
      <c r="N40" s="9">
        <v>101</v>
      </c>
      <c r="O40" s="9">
        <v>95.2</v>
      </c>
      <c r="P40" s="9">
        <v>111.7</v>
      </c>
      <c r="Q40" s="8">
        <v>140.4</v>
      </c>
      <c r="R40" s="8">
        <v>181.7</v>
      </c>
      <c r="S40" s="8">
        <v>209</v>
      </c>
      <c r="T40" s="8">
        <v>232.8</v>
      </c>
      <c r="U40" s="14">
        <v>276.2</v>
      </c>
    </row>
    <row r="41" spans="1:21" x14ac:dyDescent="0.25">
      <c r="A41" s="6" t="s">
        <v>39</v>
      </c>
      <c r="B41" s="9">
        <v>68.3</v>
      </c>
      <c r="C41" s="9">
        <v>73.8</v>
      </c>
      <c r="D41" s="9">
        <v>74.400000000000006</v>
      </c>
      <c r="E41" s="9">
        <v>70.3</v>
      </c>
      <c r="F41" s="9">
        <v>72.5</v>
      </c>
      <c r="G41" s="10">
        <v>64.3</v>
      </c>
      <c r="H41" s="10">
        <v>69.7</v>
      </c>
      <c r="I41" s="9">
        <v>71.400000000000006</v>
      </c>
      <c r="J41" s="11">
        <v>75.099999999999994</v>
      </c>
      <c r="K41" s="11">
        <v>57.2</v>
      </c>
      <c r="L41" s="9">
        <v>66</v>
      </c>
      <c r="M41" s="9">
        <v>99</v>
      </c>
      <c r="N41" s="9">
        <v>95.5</v>
      </c>
      <c r="O41" s="9">
        <v>89.8</v>
      </c>
      <c r="P41" s="9">
        <v>107</v>
      </c>
      <c r="Q41" s="8">
        <v>136.4</v>
      </c>
      <c r="R41" s="8">
        <v>179</v>
      </c>
      <c r="S41" s="8">
        <v>205.7</v>
      </c>
      <c r="T41" s="8">
        <v>226.9</v>
      </c>
      <c r="U41" s="14">
        <v>273.60000000000002</v>
      </c>
    </row>
    <row r="42" spans="1:21" x14ac:dyDescent="0.25">
      <c r="A42" s="6" t="s">
        <v>40</v>
      </c>
      <c r="B42" s="9">
        <v>69.599999999999994</v>
      </c>
      <c r="C42" s="9">
        <v>83.1</v>
      </c>
      <c r="D42" s="9">
        <v>78.400000000000006</v>
      </c>
      <c r="E42" s="9">
        <v>73.599999999999994</v>
      </c>
      <c r="F42" s="9">
        <v>74.5</v>
      </c>
      <c r="G42" s="10">
        <v>68.3</v>
      </c>
      <c r="H42" s="10">
        <v>73.3</v>
      </c>
      <c r="I42" s="9">
        <v>74</v>
      </c>
      <c r="J42" s="11">
        <v>78.8</v>
      </c>
      <c r="K42" s="11">
        <v>61.8</v>
      </c>
      <c r="L42" s="11">
        <v>68.400000000000006</v>
      </c>
      <c r="M42" s="11">
        <v>101.7</v>
      </c>
      <c r="N42" s="9">
        <v>96.8</v>
      </c>
      <c r="O42" s="9">
        <v>91.1</v>
      </c>
      <c r="P42" s="9">
        <v>107</v>
      </c>
      <c r="Q42" s="8">
        <v>137.5</v>
      </c>
      <c r="R42" s="8">
        <v>180.4</v>
      </c>
      <c r="S42" s="8">
        <v>207.1</v>
      </c>
      <c r="T42" s="8">
        <v>227</v>
      </c>
      <c r="U42" s="14">
        <v>276.7</v>
      </c>
    </row>
    <row r="43" spans="1:21" x14ac:dyDescent="0.25">
      <c r="A43" s="6" t="s">
        <v>41</v>
      </c>
      <c r="B43" s="9">
        <v>74.7</v>
      </c>
      <c r="C43" s="9">
        <v>78.099999999999994</v>
      </c>
      <c r="D43" s="9">
        <v>78.900000000000006</v>
      </c>
      <c r="E43" s="9">
        <v>70.599999999999994</v>
      </c>
      <c r="F43" s="9">
        <v>74.5</v>
      </c>
      <c r="G43" s="10">
        <v>66.099999999999994</v>
      </c>
      <c r="H43" s="10">
        <v>74.099999999999994</v>
      </c>
      <c r="I43" s="9">
        <v>75.099999999999994</v>
      </c>
      <c r="J43" s="11">
        <v>79.3</v>
      </c>
      <c r="K43" s="11">
        <v>62.3</v>
      </c>
      <c r="L43" s="11">
        <v>69.5</v>
      </c>
      <c r="M43" s="11">
        <v>104.8</v>
      </c>
      <c r="N43" s="9">
        <v>99.1</v>
      </c>
      <c r="O43" s="9">
        <v>93.9</v>
      </c>
      <c r="P43" s="9">
        <v>110.9</v>
      </c>
      <c r="Q43" s="8">
        <v>139.4</v>
      </c>
      <c r="R43" s="8">
        <v>181.5</v>
      </c>
      <c r="S43" s="8">
        <v>209.7</v>
      </c>
      <c r="T43" s="8">
        <v>227.7</v>
      </c>
      <c r="U43" s="14">
        <v>272.60000000000002</v>
      </c>
    </row>
    <row r="44" spans="1:21" x14ac:dyDescent="0.25">
      <c r="A44" s="7" t="s">
        <v>42</v>
      </c>
      <c r="B44" s="9"/>
      <c r="C44" s="9"/>
      <c r="D44" s="9"/>
      <c r="E44" s="9"/>
      <c r="F44" s="9"/>
      <c r="G44" s="10"/>
      <c r="H44" s="10"/>
      <c r="I44" s="9"/>
      <c r="J44" s="9"/>
      <c r="K44" s="9"/>
      <c r="L44" s="9"/>
      <c r="M44" s="9"/>
      <c r="N44" s="9"/>
      <c r="O44" s="9"/>
      <c r="P44" s="9"/>
      <c r="Q44" s="12"/>
      <c r="R44" s="12"/>
      <c r="S44" s="12"/>
      <c r="T44" s="12"/>
      <c r="U44" s="13"/>
    </row>
    <row r="45" spans="1:21" x14ac:dyDescent="0.25">
      <c r="A45" s="6" t="s">
        <v>43</v>
      </c>
      <c r="B45" s="9">
        <v>65.400000000000006</v>
      </c>
      <c r="C45" s="9">
        <v>75.8</v>
      </c>
      <c r="D45" s="9">
        <v>77.5</v>
      </c>
      <c r="E45" s="9">
        <v>70.099999999999994</v>
      </c>
      <c r="F45" s="9">
        <v>72.8</v>
      </c>
      <c r="G45" s="10">
        <v>63.6</v>
      </c>
      <c r="H45" s="10">
        <v>69.099999999999994</v>
      </c>
      <c r="I45" s="9">
        <v>68.7</v>
      </c>
      <c r="J45" s="11">
        <v>75.400000000000006</v>
      </c>
      <c r="K45" s="11">
        <v>58.2</v>
      </c>
      <c r="L45" s="11">
        <v>66.400000000000006</v>
      </c>
      <c r="M45" s="11">
        <v>100.3</v>
      </c>
      <c r="N45" s="9">
        <v>95.8</v>
      </c>
      <c r="O45" s="9">
        <v>90.2</v>
      </c>
      <c r="P45" s="9">
        <v>106.7</v>
      </c>
      <c r="Q45" s="8">
        <v>134.80000000000001</v>
      </c>
      <c r="R45" s="8">
        <v>175.7</v>
      </c>
      <c r="S45" s="8">
        <v>203.1</v>
      </c>
      <c r="T45" s="8">
        <v>230.2</v>
      </c>
      <c r="U45" s="14">
        <v>270.3</v>
      </c>
    </row>
    <row r="46" spans="1:21" x14ac:dyDescent="0.25">
      <c r="A46" s="6" t="s">
        <v>44</v>
      </c>
      <c r="B46" s="9">
        <v>70</v>
      </c>
      <c r="C46" s="9">
        <v>76.2</v>
      </c>
      <c r="D46" s="9">
        <v>77.2</v>
      </c>
      <c r="E46" s="9">
        <v>73.599999999999994</v>
      </c>
      <c r="F46" s="9">
        <v>75.3</v>
      </c>
      <c r="G46" s="10">
        <v>66.599999999999994</v>
      </c>
      <c r="H46" s="10">
        <v>71.900000000000006</v>
      </c>
      <c r="I46" s="9">
        <v>70.900000000000006</v>
      </c>
      <c r="J46" s="11">
        <v>76.400000000000006</v>
      </c>
      <c r="K46" s="11">
        <v>59.9</v>
      </c>
      <c r="L46" s="11">
        <v>68.2</v>
      </c>
      <c r="M46" s="11">
        <v>100.7</v>
      </c>
      <c r="N46" s="9">
        <v>94.4</v>
      </c>
      <c r="O46" s="9">
        <v>90</v>
      </c>
      <c r="P46" s="9">
        <v>105.6</v>
      </c>
      <c r="Q46" s="8">
        <v>135.4</v>
      </c>
      <c r="R46" s="8">
        <v>179.8</v>
      </c>
      <c r="S46" s="8">
        <v>208.7</v>
      </c>
      <c r="T46" s="8">
        <v>228.5</v>
      </c>
      <c r="U46" s="14">
        <v>277</v>
      </c>
    </row>
    <row r="47" spans="1:21" x14ac:dyDescent="0.25">
      <c r="A47" s="6" t="s">
        <v>45</v>
      </c>
      <c r="B47" s="9">
        <v>66.2</v>
      </c>
      <c r="C47" s="9">
        <v>72.7</v>
      </c>
      <c r="D47" s="9">
        <v>75.8</v>
      </c>
      <c r="E47" s="9">
        <v>69.5</v>
      </c>
      <c r="F47" s="9">
        <v>71.5</v>
      </c>
      <c r="G47" s="10">
        <v>59.9</v>
      </c>
      <c r="H47" s="9">
        <v>66</v>
      </c>
      <c r="I47" s="9">
        <v>67</v>
      </c>
      <c r="J47" s="11">
        <v>74.3</v>
      </c>
      <c r="K47" s="11">
        <v>57.8</v>
      </c>
      <c r="L47" s="11">
        <v>65.900000000000006</v>
      </c>
      <c r="M47" s="11">
        <v>100.6</v>
      </c>
      <c r="N47" s="9">
        <v>95.3</v>
      </c>
      <c r="O47" s="9">
        <v>88.5</v>
      </c>
      <c r="P47" s="9">
        <v>105.6</v>
      </c>
      <c r="Q47" s="8">
        <v>132.9</v>
      </c>
      <c r="R47" s="8">
        <v>175.6</v>
      </c>
      <c r="S47" s="8">
        <v>204.3</v>
      </c>
      <c r="T47" s="8">
        <v>234.6</v>
      </c>
      <c r="U47" s="14">
        <v>268.5</v>
      </c>
    </row>
    <row r="48" spans="1:21" x14ac:dyDescent="0.25">
      <c r="A48" s="6" t="s">
        <v>46</v>
      </c>
      <c r="B48" s="9">
        <v>67.900000000000006</v>
      </c>
      <c r="C48" s="9">
        <v>76.400000000000006</v>
      </c>
      <c r="D48" s="9">
        <v>76.099999999999994</v>
      </c>
      <c r="E48" s="9">
        <v>72.400000000000006</v>
      </c>
      <c r="F48" s="9">
        <v>74.8</v>
      </c>
      <c r="G48" s="9">
        <v>65</v>
      </c>
      <c r="H48" s="10">
        <v>74.5</v>
      </c>
      <c r="I48" s="9">
        <v>73.099999999999994</v>
      </c>
      <c r="J48" s="11">
        <v>75.400000000000006</v>
      </c>
      <c r="K48" s="11">
        <v>57.6</v>
      </c>
      <c r="L48" s="9">
        <v>67</v>
      </c>
      <c r="M48" s="11">
        <v>99.1</v>
      </c>
      <c r="N48" s="9">
        <v>94.5</v>
      </c>
      <c r="O48" s="9">
        <v>89.3</v>
      </c>
      <c r="P48" s="9">
        <v>105.6</v>
      </c>
      <c r="Q48" s="8">
        <v>133.9</v>
      </c>
      <c r="R48" s="8">
        <v>176.8</v>
      </c>
      <c r="S48" s="8">
        <v>207.8</v>
      </c>
      <c r="T48" s="8">
        <v>228.1</v>
      </c>
      <c r="U48" s="14">
        <v>271.3</v>
      </c>
    </row>
    <row r="49" spans="1:21" x14ac:dyDescent="0.25">
      <c r="A49" s="5" t="s">
        <v>47</v>
      </c>
      <c r="B49" s="9"/>
      <c r="C49" s="9"/>
      <c r="D49" s="9"/>
      <c r="E49" s="9"/>
      <c r="F49" s="9"/>
      <c r="G49" s="10"/>
      <c r="H49" s="10"/>
      <c r="I49" s="9"/>
      <c r="J49" s="9"/>
      <c r="K49" s="9"/>
      <c r="L49" s="9"/>
      <c r="M49" s="9"/>
      <c r="N49" s="9"/>
      <c r="O49" s="9"/>
      <c r="P49" s="9"/>
      <c r="Q49" s="12"/>
      <c r="R49" s="12"/>
      <c r="S49" s="12"/>
      <c r="T49" s="12"/>
      <c r="U49" s="13"/>
    </row>
    <row r="50" spans="1:21" x14ac:dyDescent="0.25">
      <c r="A50" s="7" t="s">
        <v>48</v>
      </c>
      <c r="B50" s="9"/>
      <c r="C50" s="9"/>
      <c r="D50" s="9"/>
      <c r="E50" s="9"/>
      <c r="F50" s="9"/>
      <c r="G50" s="10"/>
      <c r="H50" s="10"/>
      <c r="I50" s="9"/>
      <c r="J50" s="9"/>
      <c r="K50" s="9"/>
      <c r="L50" s="9"/>
      <c r="M50" s="9"/>
      <c r="N50" s="9"/>
      <c r="O50" s="9"/>
      <c r="P50" s="9"/>
      <c r="Q50" s="12"/>
      <c r="R50" s="12"/>
      <c r="S50" s="12"/>
      <c r="T50" s="12"/>
      <c r="U50" s="13"/>
    </row>
    <row r="51" spans="1:21" x14ac:dyDescent="0.25">
      <c r="A51" s="6" t="s">
        <v>49</v>
      </c>
      <c r="B51" s="9">
        <v>69.2</v>
      </c>
      <c r="C51" s="9">
        <v>79.5</v>
      </c>
      <c r="D51" s="9">
        <v>81.3</v>
      </c>
      <c r="E51" s="9">
        <v>73.099999999999994</v>
      </c>
      <c r="F51" s="9">
        <v>77.099999999999994</v>
      </c>
      <c r="G51" s="10">
        <v>71.5</v>
      </c>
      <c r="H51" s="10">
        <v>74.8</v>
      </c>
      <c r="I51" s="9">
        <v>76.3</v>
      </c>
      <c r="J51" s="11">
        <v>89.7</v>
      </c>
      <c r="K51" s="11">
        <v>72.599999999999994</v>
      </c>
      <c r="L51" s="11">
        <v>83.5</v>
      </c>
      <c r="M51" s="11">
        <v>113.3</v>
      </c>
      <c r="N51" s="9">
        <v>105.1</v>
      </c>
      <c r="O51" s="9">
        <v>95</v>
      </c>
      <c r="P51" s="9">
        <v>114.9</v>
      </c>
      <c r="Q51" s="8">
        <v>141.80000000000001</v>
      </c>
      <c r="R51" s="8">
        <v>182</v>
      </c>
      <c r="S51" s="8">
        <v>209.5</v>
      </c>
      <c r="T51" s="8">
        <v>236.9</v>
      </c>
      <c r="U51" s="14">
        <v>280.39999999999998</v>
      </c>
    </row>
    <row r="52" spans="1:21" x14ac:dyDescent="0.25">
      <c r="A52" s="6" t="s">
        <v>50</v>
      </c>
      <c r="B52" s="9">
        <v>68.5</v>
      </c>
      <c r="C52" s="9">
        <v>71.5</v>
      </c>
      <c r="D52" s="9">
        <v>67</v>
      </c>
      <c r="E52" s="9">
        <v>71.7</v>
      </c>
      <c r="F52" s="9">
        <v>72.599999999999994</v>
      </c>
      <c r="G52" s="10">
        <v>64.5</v>
      </c>
      <c r="H52" s="9">
        <v>72</v>
      </c>
      <c r="I52" s="9">
        <v>72.400000000000006</v>
      </c>
      <c r="J52" s="11">
        <v>88.4</v>
      </c>
      <c r="K52" s="11">
        <v>71.099999999999994</v>
      </c>
      <c r="L52" s="11">
        <v>82.2</v>
      </c>
      <c r="M52" s="11">
        <v>112.6</v>
      </c>
      <c r="N52" s="9">
        <v>104.5</v>
      </c>
      <c r="O52" s="9">
        <v>95.1</v>
      </c>
      <c r="P52" s="9">
        <v>119.2</v>
      </c>
      <c r="Q52" s="8">
        <v>145</v>
      </c>
      <c r="R52" s="8">
        <v>186.5</v>
      </c>
      <c r="S52" s="8">
        <v>214.8</v>
      </c>
      <c r="T52" s="8">
        <v>238.2</v>
      </c>
      <c r="U52" s="14">
        <v>281.89999999999998</v>
      </c>
    </row>
    <row r="53" spans="1:21" x14ac:dyDescent="0.25">
      <c r="A53" s="6" t="s">
        <v>51</v>
      </c>
      <c r="B53" s="9">
        <v>70.599999999999994</v>
      </c>
      <c r="C53" s="9">
        <v>78.900000000000006</v>
      </c>
      <c r="D53" s="9">
        <v>79.400000000000006</v>
      </c>
      <c r="E53" s="9">
        <v>77.7</v>
      </c>
      <c r="F53" s="9">
        <v>80.2</v>
      </c>
      <c r="G53" s="10">
        <v>72.8</v>
      </c>
      <c r="H53" s="10">
        <v>79.7</v>
      </c>
      <c r="I53" s="9">
        <v>79.5</v>
      </c>
      <c r="J53" s="11">
        <v>90.7</v>
      </c>
      <c r="K53" s="11">
        <v>73.5</v>
      </c>
      <c r="L53" s="11">
        <v>83.2</v>
      </c>
      <c r="M53" s="11">
        <v>112.1</v>
      </c>
      <c r="N53" s="9">
        <v>110</v>
      </c>
      <c r="O53" s="9">
        <v>101.9</v>
      </c>
      <c r="P53" s="9">
        <v>117.9</v>
      </c>
      <c r="Q53" s="8">
        <v>144.5</v>
      </c>
      <c r="R53" s="8">
        <v>189.3</v>
      </c>
      <c r="S53" s="8">
        <v>218</v>
      </c>
      <c r="T53" s="8">
        <v>243.5</v>
      </c>
      <c r="U53" s="14">
        <v>283.89999999999998</v>
      </c>
    </row>
    <row r="54" spans="1:21" x14ac:dyDescent="0.25">
      <c r="A54" s="6" t="s">
        <v>52</v>
      </c>
      <c r="B54" s="9">
        <v>69.5</v>
      </c>
      <c r="C54" s="9">
        <v>69.7</v>
      </c>
      <c r="D54" s="9">
        <v>73.400000000000006</v>
      </c>
      <c r="E54" s="9">
        <v>74.7</v>
      </c>
      <c r="F54" s="9">
        <v>80.400000000000006</v>
      </c>
      <c r="G54" s="10">
        <v>75.400000000000006</v>
      </c>
      <c r="H54" s="10">
        <v>80.8</v>
      </c>
      <c r="I54" s="9">
        <v>79.5</v>
      </c>
      <c r="J54" s="11">
        <v>86.5</v>
      </c>
      <c r="K54" s="11">
        <v>68.7</v>
      </c>
      <c r="L54" s="11">
        <v>76.3</v>
      </c>
      <c r="M54" s="11">
        <v>108.3</v>
      </c>
      <c r="N54" s="9">
        <v>113.5</v>
      </c>
      <c r="O54" s="9">
        <v>100.9</v>
      </c>
      <c r="P54" s="9">
        <v>117</v>
      </c>
      <c r="Q54" s="8">
        <v>143.9</v>
      </c>
      <c r="R54" s="8">
        <v>185.9</v>
      </c>
      <c r="S54" s="8">
        <v>215</v>
      </c>
      <c r="T54" s="8">
        <v>240.5</v>
      </c>
      <c r="U54" s="14">
        <v>276.60000000000002</v>
      </c>
    </row>
    <row r="55" spans="1:21" x14ac:dyDescent="0.25">
      <c r="A55" s="6" t="s">
        <v>53</v>
      </c>
      <c r="B55" s="9">
        <v>73.400000000000006</v>
      </c>
      <c r="C55" s="9">
        <v>78.599999999999994</v>
      </c>
      <c r="D55" s="9">
        <v>77.8</v>
      </c>
      <c r="E55" s="9">
        <v>73.7</v>
      </c>
      <c r="F55" s="9">
        <v>85.9</v>
      </c>
      <c r="G55" s="10">
        <v>69.5</v>
      </c>
      <c r="H55" s="10">
        <v>75.599999999999994</v>
      </c>
      <c r="I55" s="9">
        <v>78.2</v>
      </c>
      <c r="J55" s="11">
        <v>85.6</v>
      </c>
      <c r="K55" s="11">
        <v>67.5</v>
      </c>
      <c r="L55" s="11">
        <v>79.599999999999994</v>
      </c>
      <c r="M55" s="11">
        <v>109.9</v>
      </c>
      <c r="N55" s="9">
        <v>105.3</v>
      </c>
      <c r="O55" s="9">
        <v>98.2</v>
      </c>
      <c r="P55" s="9">
        <v>116.9</v>
      </c>
      <c r="Q55" s="8">
        <v>142.9</v>
      </c>
      <c r="R55" s="8">
        <v>189.9</v>
      </c>
      <c r="S55" s="8">
        <v>220.7</v>
      </c>
      <c r="T55" s="8">
        <v>245.6</v>
      </c>
      <c r="U55" s="14">
        <v>281.89999999999998</v>
      </c>
    </row>
    <row r="56" spans="1:21" x14ac:dyDescent="0.25">
      <c r="A56" s="6" t="s">
        <v>54</v>
      </c>
      <c r="B56" s="9">
        <v>70.400000000000006</v>
      </c>
      <c r="C56" s="9">
        <v>80.400000000000006</v>
      </c>
      <c r="D56" s="9">
        <v>78.599999999999994</v>
      </c>
      <c r="E56" s="9">
        <v>73.3</v>
      </c>
      <c r="F56" s="9">
        <v>84.6</v>
      </c>
      <c r="G56" s="10">
        <v>80.900000000000006</v>
      </c>
      <c r="H56" s="10">
        <v>79.8</v>
      </c>
      <c r="I56" s="9">
        <v>82.7</v>
      </c>
      <c r="J56" s="11">
        <v>93.6</v>
      </c>
      <c r="K56" s="11">
        <v>70.7</v>
      </c>
      <c r="L56" s="11">
        <v>81.3</v>
      </c>
      <c r="M56" s="11">
        <v>111.4</v>
      </c>
      <c r="N56" s="9">
        <v>107.8</v>
      </c>
      <c r="O56" s="9">
        <v>96.4</v>
      </c>
      <c r="P56" s="9">
        <v>131.19999999999999</v>
      </c>
      <c r="Q56" s="8">
        <v>156.19999999999999</v>
      </c>
      <c r="R56" s="8">
        <v>194.5</v>
      </c>
      <c r="S56" s="8">
        <v>218.2</v>
      </c>
      <c r="T56" s="8">
        <v>234.5</v>
      </c>
      <c r="U56" s="14">
        <v>278</v>
      </c>
    </row>
    <row r="57" spans="1:21" x14ac:dyDescent="0.25">
      <c r="A57" s="6" t="s">
        <v>55</v>
      </c>
      <c r="B57" s="9">
        <v>66.7</v>
      </c>
      <c r="C57" s="9">
        <v>71.099999999999994</v>
      </c>
      <c r="D57" s="9">
        <v>66.2</v>
      </c>
      <c r="E57" s="9">
        <v>69.2</v>
      </c>
      <c r="F57" s="9">
        <v>74.8</v>
      </c>
      <c r="G57" s="10">
        <v>63.1</v>
      </c>
      <c r="H57" s="10">
        <v>73.099999999999994</v>
      </c>
      <c r="I57" s="9">
        <v>74.5</v>
      </c>
      <c r="J57" s="11">
        <v>86.4</v>
      </c>
      <c r="K57" s="11">
        <v>66.099999999999994</v>
      </c>
      <c r="L57" s="11">
        <v>79.3</v>
      </c>
      <c r="M57" s="9">
        <v>106</v>
      </c>
      <c r="N57" s="9">
        <v>102.3</v>
      </c>
      <c r="O57" s="9">
        <v>94</v>
      </c>
      <c r="P57" s="9">
        <v>117</v>
      </c>
      <c r="Q57" s="8">
        <v>142.69999999999999</v>
      </c>
      <c r="R57" s="8">
        <v>180.7</v>
      </c>
      <c r="S57" s="8">
        <v>209.5</v>
      </c>
      <c r="T57" s="8">
        <v>232.6</v>
      </c>
      <c r="U57" s="14">
        <v>277.8</v>
      </c>
    </row>
    <row r="58" spans="1:21" x14ac:dyDescent="0.25">
      <c r="A58" s="6" t="s">
        <v>56</v>
      </c>
      <c r="B58" s="9">
        <v>67.5</v>
      </c>
      <c r="C58" s="9">
        <v>74.599999999999994</v>
      </c>
      <c r="D58" s="9">
        <v>79.2</v>
      </c>
      <c r="E58" s="9">
        <v>77.8</v>
      </c>
      <c r="F58" s="9">
        <v>83.1</v>
      </c>
      <c r="G58" s="10">
        <v>80.2</v>
      </c>
      <c r="H58" s="10">
        <v>82.9</v>
      </c>
      <c r="I58" s="9">
        <v>90.3</v>
      </c>
      <c r="J58" s="11">
        <v>90.3</v>
      </c>
      <c r="K58" s="11">
        <v>73.3</v>
      </c>
      <c r="L58" s="11">
        <v>93.3</v>
      </c>
      <c r="M58" s="11">
        <v>121.7</v>
      </c>
      <c r="N58" s="9">
        <v>115.9</v>
      </c>
      <c r="O58" s="9">
        <v>102.2</v>
      </c>
      <c r="P58" s="9">
        <v>131.1</v>
      </c>
      <c r="Q58" s="8">
        <v>163.6</v>
      </c>
      <c r="R58" s="8">
        <v>195.1</v>
      </c>
      <c r="S58" s="8">
        <v>223.2</v>
      </c>
      <c r="T58" s="8">
        <v>242.1</v>
      </c>
      <c r="U58" s="14">
        <v>282.89999999999998</v>
      </c>
    </row>
    <row r="59" spans="1:21" x14ac:dyDescent="0.25">
      <c r="A59" s="7" t="s">
        <v>57</v>
      </c>
      <c r="B59" s="9"/>
      <c r="C59" s="9"/>
      <c r="D59" s="9"/>
      <c r="E59" s="9"/>
      <c r="F59" s="9"/>
      <c r="G59" s="10"/>
      <c r="H59" s="10"/>
      <c r="I59" s="9"/>
      <c r="J59" s="9"/>
      <c r="K59" s="9"/>
      <c r="L59" s="9"/>
      <c r="M59" s="9"/>
      <c r="N59" s="9"/>
      <c r="O59" s="9"/>
      <c r="P59" s="9"/>
      <c r="Q59" s="12"/>
      <c r="R59" s="12"/>
      <c r="S59" s="12"/>
      <c r="T59" s="12"/>
      <c r="U59" s="13"/>
    </row>
    <row r="60" spans="1:21" x14ac:dyDescent="0.25">
      <c r="A60" s="6" t="s">
        <v>58</v>
      </c>
      <c r="B60" s="9">
        <v>66.7</v>
      </c>
      <c r="C60" s="9">
        <v>73.599999999999994</v>
      </c>
      <c r="D60" s="9">
        <v>72.400000000000006</v>
      </c>
      <c r="E60" s="9">
        <v>69.8</v>
      </c>
      <c r="F60" s="9">
        <v>69.599999999999994</v>
      </c>
      <c r="G60" s="10">
        <v>70.8</v>
      </c>
      <c r="H60" s="10">
        <v>78.3</v>
      </c>
      <c r="I60" s="9">
        <v>83.1</v>
      </c>
      <c r="J60" s="11">
        <v>86.9</v>
      </c>
      <c r="K60" s="11">
        <v>67.2</v>
      </c>
      <c r="L60" s="11">
        <v>85.6</v>
      </c>
      <c r="M60" s="11">
        <v>115.3</v>
      </c>
      <c r="N60" s="9">
        <v>110.4</v>
      </c>
      <c r="O60" s="9">
        <v>96.1</v>
      </c>
      <c r="P60" s="9">
        <v>122</v>
      </c>
      <c r="Q60" s="8">
        <v>149.80000000000001</v>
      </c>
      <c r="R60" s="8">
        <v>189.5</v>
      </c>
      <c r="S60" s="8">
        <v>220.1</v>
      </c>
      <c r="T60" s="8">
        <v>241.8</v>
      </c>
      <c r="U60" s="14">
        <v>285.60000000000002</v>
      </c>
    </row>
    <row r="61" spans="1:21" x14ac:dyDescent="0.25">
      <c r="A61" s="6" t="s">
        <v>59</v>
      </c>
      <c r="B61" s="9">
        <v>71.5</v>
      </c>
      <c r="C61" s="9">
        <v>78.7</v>
      </c>
      <c r="D61" s="9">
        <v>75.8</v>
      </c>
      <c r="E61" s="9">
        <v>78.3</v>
      </c>
      <c r="F61" s="9">
        <v>79.900000000000006</v>
      </c>
      <c r="G61" s="9">
        <v>76</v>
      </c>
      <c r="H61" s="10">
        <v>77.400000000000006</v>
      </c>
      <c r="I61" s="9">
        <v>82.1</v>
      </c>
      <c r="J61" s="11">
        <v>90.8</v>
      </c>
      <c r="K61" s="11">
        <v>69.5</v>
      </c>
      <c r="L61" s="11">
        <v>89.7</v>
      </c>
      <c r="M61" s="11">
        <v>118.3</v>
      </c>
      <c r="N61" s="9">
        <v>112</v>
      </c>
      <c r="O61" s="9">
        <v>99.5</v>
      </c>
      <c r="P61" s="9">
        <v>126.4</v>
      </c>
      <c r="Q61" s="8">
        <v>151.9</v>
      </c>
      <c r="R61" s="8">
        <v>190.9</v>
      </c>
      <c r="S61" s="8">
        <v>222.4</v>
      </c>
      <c r="T61" s="8">
        <v>247.7</v>
      </c>
      <c r="U61" s="14">
        <v>292.39999999999998</v>
      </c>
    </row>
    <row r="62" spans="1:21" x14ac:dyDescent="0.25">
      <c r="A62" s="6" t="s">
        <v>60</v>
      </c>
      <c r="B62" s="9">
        <v>73.2</v>
      </c>
      <c r="C62" s="9">
        <v>77.900000000000006</v>
      </c>
      <c r="D62" s="9">
        <v>65.3</v>
      </c>
      <c r="E62" s="9">
        <v>73.7</v>
      </c>
      <c r="F62" s="9">
        <v>84.4</v>
      </c>
      <c r="G62" s="10">
        <v>70.099999999999994</v>
      </c>
      <c r="H62" s="10">
        <v>77.5</v>
      </c>
      <c r="I62" s="9">
        <v>76</v>
      </c>
      <c r="J62" s="11">
        <v>86.8</v>
      </c>
      <c r="K62" s="11">
        <v>69.400000000000006</v>
      </c>
      <c r="L62" s="11">
        <v>87.5</v>
      </c>
      <c r="M62" s="11">
        <v>115.5</v>
      </c>
      <c r="N62" s="9">
        <v>115.5</v>
      </c>
      <c r="O62" s="9">
        <v>102.1</v>
      </c>
      <c r="P62" s="9">
        <v>134.1</v>
      </c>
      <c r="Q62" s="8">
        <v>164.5</v>
      </c>
      <c r="R62" s="8">
        <v>197.6</v>
      </c>
      <c r="S62" s="8">
        <v>228.2</v>
      </c>
      <c r="T62" s="8">
        <v>248.7</v>
      </c>
      <c r="U62" s="14">
        <v>290.60000000000002</v>
      </c>
    </row>
    <row r="63" spans="1:21" x14ac:dyDescent="0.25">
      <c r="A63" s="6" t="s">
        <v>61</v>
      </c>
      <c r="B63" s="9">
        <v>94.3</v>
      </c>
      <c r="C63" s="9">
        <v>101</v>
      </c>
      <c r="D63" s="9">
        <v>108.7</v>
      </c>
      <c r="E63" s="9">
        <v>103.9</v>
      </c>
      <c r="F63" s="9">
        <v>107.7</v>
      </c>
      <c r="G63" s="10">
        <v>107.7</v>
      </c>
      <c r="H63" s="10">
        <v>112.4</v>
      </c>
      <c r="I63" s="9">
        <v>111.8</v>
      </c>
      <c r="J63" s="11">
        <v>116.2</v>
      </c>
      <c r="K63" s="11">
        <v>96.3</v>
      </c>
      <c r="L63" s="11">
        <v>97.8</v>
      </c>
      <c r="M63" s="11">
        <v>131.4</v>
      </c>
      <c r="N63" s="9">
        <v>138.30000000000001</v>
      </c>
      <c r="O63" s="9">
        <v>128.69999999999999</v>
      </c>
      <c r="P63" s="9">
        <v>148</v>
      </c>
      <c r="Q63" s="8">
        <v>170.4</v>
      </c>
      <c r="R63" s="8">
        <v>210.9</v>
      </c>
      <c r="S63" s="8">
        <v>239.9</v>
      </c>
      <c r="T63" s="8">
        <v>255.1</v>
      </c>
      <c r="U63" s="14">
        <v>339.1</v>
      </c>
    </row>
    <row r="64" spans="1:21" x14ac:dyDescent="0.25">
      <c r="A64" s="6" t="s">
        <v>62</v>
      </c>
      <c r="B64" s="9">
        <v>87.8</v>
      </c>
      <c r="C64" s="9">
        <v>96.9</v>
      </c>
      <c r="D64" s="9">
        <v>99.1</v>
      </c>
      <c r="E64" s="9">
        <v>104.2</v>
      </c>
      <c r="F64" s="9">
        <v>108.5</v>
      </c>
      <c r="G64" s="10">
        <v>110.1</v>
      </c>
      <c r="H64" s="9">
        <v>105</v>
      </c>
      <c r="I64" s="9">
        <v>104.9</v>
      </c>
      <c r="J64" s="11">
        <v>110.3</v>
      </c>
      <c r="K64" s="11">
        <v>106.7</v>
      </c>
      <c r="L64" s="11">
        <v>97.1</v>
      </c>
      <c r="M64" s="11">
        <v>128.9</v>
      </c>
      <c r="N64" s="9">
        <v>145.9</v>
      </c>
      <c r="O64" s="9">
        <v>119.5</v>
      </c>
      <c r="P64" s="9">
        <v>153.80000000000001</v>
      </c>
      <c r="Q64" s="8">
        <v>167.3</v>
      </c>
      <c r="R64" s="8">
        <v>211.6</v>
      </c>
      <c r="S64" s="8">
        <v>252.5</v>
      </c>
      <c r="T64" s="8">
        <v>258.7</v>
      </c>
      <c r="U64" s="14">
        <v>317.10000000000002</v>
      </c>
    </row>
  </sheetData>
  <pageMargins left="0.75" right="0.75" top="1" bottom="1" header="0.5" footer="0.5"/>
  <pageSetup scale="74"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51"/>
  <sheetViews>
    <sheetView workbookViewId="0"/>
  </sheetViews>
  <sheetFormatPr defaultRowHeight="15" x14ac:dyDescent="0.25"/>
  <cols>
    <col min="1" max="1" width="22" style="1" customWidth="1"/>
    <col min="2" max="13" width="7.28515625" style="1" bestFit="1" customWidth="1"/>
    <col min="14" max="16" width="8.85546875" style="2" customWidth="1"/>
    <col min="17" max="254" width="9.140625" style="1"/>
    <col min="255" max="255" width="22" style="1" customWidth="1"/>
    <col min="256" max="256" width="10.140625" style="1" customWidth="1"/>
    <col min="257" max="257" width="8.28515625" style="1" customWidth="1"/>
    <col min="258" max="269" width="7.28515625" style="1" bestFit="1" customWidth="1"/>
    <col min="270" max="272" width="8.85546875" style="1" customWidth="1"/>
    <col min="273" max="510" width="9.140625" style="1"/>
    <col min="511" max="511" width="22" style="1" customWidth="1"/>
    <col min="512" max="512" width="10.140625" style="1" customWidth="1"/>
    <col min="513" max="513" width="8.28515625" style="1" customWidth="1"/>
    <col min="514" max="525" width="7.28515625" style="1" bestFit="1" customWidth="1"/>
    <col min="526" max="528" width="8.85546875" style="1" customWidth="1"/>
    <col min="529" max="766" width="9.140625" style="1"/>
    <col min="767" max="767" width="22" style="1" customWidth="1"/>
    <col min="768" max="768" width="10.140625" style="1" customWidth="1"/>
    <col min="769" max="769" width="8.28515625" style="1" customWidth="1"/>
    <col min="770" max="781" width="7.28515625" style="1" bestFit="1" customWidth="1"/>
    <col min="782" max="784" width="8.85546875" style="1" customWidth="1"/>
    <col min="785" max="1022" width="9.140625" style="1"/>
    <col min="1023" max="1023" width="22" style="1" customWidth="1"/>
    <col min="1024" max="1024" width="10.140625" style="1" customWidth="1"/>
    <col min="1025" max="1025" width="8.28515625" style="1" customWidth="1"/>
    <col min="1026" max="1037" width="7.28515625" style="1" bestFit="1" customWidth="1"/>
    <col min="1038" max="1040" width="8.85546875" style="1" customWidth="1"/>
    <col min="1041" max="1278" width="9.140625" style="1"/>
    <col min="1279" max="1279" width="22" style="1" customWidth="1"/>
    <col min="1280" max="1280" width="10.140625" style="1" customWidth="1"/>
    <col min="1281" max="1281" width="8.28515625" style="1" customWidth="1"/>
    <col min="1282" max="1293" width="7.28515625" style="1" bestFit="1" customWidth="1"/>
    <col min="1294" max="1296" width="8.85546875" style="1" customWidth="1"/>
    <col min="1297" max="1534" width="9.140625" style="1"/>
    <col min="1535" max="1535" width="22" style="1" customWidth="1"/>
    <col min="1536" max="1536" width="10.140625" style="1" customWidth="1"/>
    <col min="1537" max="1537" width="8.28515625" style="1" customWidth="1"/>
    <col min="1538" max="1549" width="7.28515625" style="1" bestFit="1" customWidth="1"/>
    <col min="1550" max="1552" width="8.85546875" style="1" customWidth="1"/>
    <col min="1553" max="1790" width="9.140625" style="1"/>
    <col min="1791" max="1791" width="22" style="1" customWidth="1"/>
    <col min="1792" max="1792" width="10.140625" style="1" customWidth="1"/>
    <col min="1793" max="1793" width="8.28515625" style="1" customWidth="1"/>
    <col min="1794" max="1805" width="7.28515625" style="1" bestFit="1" customWidth="1"/>
    <col min="1806" max="1808" width="8.85546875" style="1" customWidth="1"/>
    <col min="1809" max="2046" width="9.140625" style="1"/>
    <col min="2047" max="2047" width="22" style="1" customWidth="1"/>
    <col min="2048" max="2048" width="10.140625" style="1" customWidth="1"/>
    <col min="2049" max="2049" width="8.28515625" style="1" customWidth="1"/>
    <col min="2050" max="2061" width="7.28515625" style="1" bestFit="1" customWidth="1"/>
    <col min="2062" max="2064" width="8.85546875" style="1" customWidth="1"/>
    <col min="2065" max="2302" width="9.140625" style="1"/>
    <col min="2303" max="2303" width="22" style="1" customWidth="1"/>
    <col min="2304" max="2304" width="10.140625" style="1" customWidth="1"/>
    <col min="2305" max="2305" width="8.28515625" style="1" customWidth="1"/>
    <col min="2306" max="2317" width="7.28515625" style="1" bestFit="1" customWidth="1"/>
    <col min="2318" max="2320" width="8.85546875" style="1" customWidth="1"/>
    <col min="2321" max="2558" width="9.140625" style="1"/>
    <col min="2559" max="2559" width="22" style="1" customWidth="1"/>
    <col min="2560" max="2560" width="10.140625" style="1" customWidth="1"/>
    <col min="2561" max="2561" width="8.28515625" style="1" customWidth="1"/>
    <col min="2562" max="2573" width="7.28515625" style="1" bestFit="1" customWidth="1"/>
    <col min="2574" max="2576" width="8.85546875" style="1" customWidth="1"/>
    <col min="2577" max="2814" width="9.140625" style="1"/>
    <col min="2815" max="2815" width="22" style="1" customWidth="1"/>
    <col min="2816" max="2816" width="10.140625" style="1" customWidth="1"/>
    <col min="2817" max="2817" width="8.28515625" style="1" customWidth="1"/>
    <col min="2818" max="2829" width="7.28515625" style="1" bestFit="1" customWidth="1"/>
    <col min="2830" max="2832" width="8.85546875" style="1" customWidth="1"/>
    <col min="2833" max="3070" width="9.140625" style="1"/>
    <col min="3071" max="3071" width="22" style="1" customWidth="1"/>
    <col min="3072" max="3072" width="10.140625" style="1" customWidth="1"/>
    <col min="3073" max="3073" width="8.28515625" style="1" customWidth="1"/>
    <col min="3074" max="3085" width="7.28515625" style="1" bestFit="1" customWidth="1"/>
    <col min="3086" max="3088" width="8.85546875" style="1" customWidth="1"/>
    <col min="3089" max="3326" width="9.140625" style="1"/>
    <col min="3327" max="3327" width="22" style="1" customWidth="1"/>
    <col min="3328" max="3328" width="10.140625" style="1" customWidth="1"/>
    <col min="3329" max="3329" width="8.28515625" style="1" customWidth="1"/>
    <col min="3330" max="3341" width="7.28515625" style="1" bestFit="1" customWidth="1"/>
    <col min="3342" max="3344" width="8.85546875" style="1" customWidth="1"/>
    <col min="3345" max="3582" width="9.140625" style="1"/>
    <col min="3583" max="3583" width="22" style="1" customWidth="1"/>
    <col min="3584" max="3584" width="10.140625" style="1" customWidth="1"/>
    <col min="3585" max="3585" width="8.28515625" style="1" customWidth="1"/>
    <col min="3586" max="3597" width="7.28515625" style="1" bestFit="1" customWidth="1"/>
    <col min="3598" max="3600" width="8.85546875" style="1" customWidth="1"/>
    <col min="3601" max="3838" width="9.140625" style="1"/>
    <col min="3839" max="3839" width="22" style="1" customWidth="1"/>
    <col min="3840" max="3840" width="10.140625" style="1" customWidth="1"/>
    <col min="3841" max="3841" width="8.28515625" style="1" customWidth="1"/>
    <col min="3842" max="3853" width="7.28515625" style="1" bestFit="1" customWidth="1"/>
    <col min="3854" max="3856" width="8.85546875" style="1" customWidth="1"/>
    <col min="3857" max="4094" width="9.140625" style="1"/>
    <col min="4095" max="4095" width="22" style="1" customWidth="1"/>
    <col min="4096" max="4096" width="10.140625" style="1" customWidth="1"/>
    <col min="4097" max="4097" width="8.28515625" style="1" customWidth="1"/>
    <col min="4098" max="4109" width="7.28515625" style="1" bestFit="1" customWidth="1"/>
    <col min="4110" max="4112" width="8.85546875" style="1" customWidth="1"/>
    <col min="4113" max="4350" width="9.140625" style="1"/>
    <col min="4351" max="4351" width="22" style="1" customWidth="1"/>
    <col min="4352" max="4352" width="10.140625" style="1" customWidth="1"/>
    <col min="4353" max="4353" width="8.28515625" style="1" customWidth="1"/>
    <col min="4354" max="4365" width="7.28515625" style="1" bestFit="1" customWidth="1"/>
    <col min="4366" max="4368" width="8.85546875" style="1" customWidth="1"/>
    <col min="4369" max="4606" width="9.140625" style="1"/>
    <col min="4607" max="4607" width="22" style="1" customWidth="1"/>
    <col min="4608" max="4608" width="10.140625" style="1" customWidth="1"/>
    <col min="4609" max="4609" width="8.28515625" style="1" customWidth="1"/>
    <col min="4610" max="4621" width="7.28515625" style="1" bestFit="1" customWidth="1"/>
    <col min="4622" max="4624" width="8.85546875" style="1" customWidth="1"/>
    <col min="4625" max="4862" width="9.140625" style="1"/>
    <col min="4863" max="4863" width="22" style="1" customWidth="1"/>
    <col min="4864" max="4864" width="10.140625" style="1" customWidth="1"/>
    <col min="4865" max="4865" width="8.28515625" style="1" customWidth="1"/>
    <col min="4866" max="4877" width="7.28515625" style="1" bestFit="1" customWidth="1"/>
    <col min="4878" max="4880" width="8.85546875" style="1" customWidth="1"/>
    <col min="4881" max="5118" width="9.140625" style="1"/>
    <col min="5119" max="5119" width="22" style="1" customWidth="1"/>
    <col min="5120" max="5120" width="10.140625" style="1" customWidth="1"/>
    <col min="5121" max="5121" width="8.28515625" style="1" customWidth="1"/>
    <col min="5122" max="5133" width="7.28515625" style="1" bestFit="1" customWidth="1"/>
    <col min="5134" max="5136" width="8.85546875" style="1" customWidth="1"/>
    <col min="5137" max="5374" width="9.140625" style="1"/>
    <col min="5375" max="5375" width="22" style="1" customWidth="1"/>
    <col min="5376" max="5376" width="10.140625" style="1" customWidth="1"/>
    <col min="5377" max="5377" width="8.28515625" style="1" customWidth="1"/>
    <col min="5378" max="5389" width="7.28515625" style="1" bestFit="1" customWidth="1"/>
    <col min="5390" max="5392" width="8.85546875" style="1" customWidth="1"/>
    <col min="5393" max="5630" width="9.140625" style="1"/>
    <col min="5631" max="5631" width="22" style="1" customWidth="1"/>
    <col min="5632" max="5632" width="10.140625" style="1" customWidth="1"/>
    <col min="5633" max="5633" width="8.28515625" style="1" customWidth="1"/>
    <col min="5634" max="5645" width="7.28515625" style="1" bestFit="1" customWidth="1"/>
    <col min="5646" max="5648" width="8.85546875" style="1" customWidth="1"/>
    <col min="5649" max="5886" width="9.140625" style="1"/>
    <col min="5887" max="5887" width="22" style="1" customWidth="1"/>
    <col min="5888" max="5888" width="10.140625" style="1" customWidth="1"/>
    <col min="5889" max="5889" width="8.28515625" style="1" customWidth="1"/>
    <col min="5890" max="5901" width="7.28515625" style="1" bestFit="1" customWidth="1"/>
    <col min="5902" max="5904" width="8.85546875" style="1" customWidth="1"/>
    <col min="5905" max="6142" width="9.140625" style="1"/>
    <col min="6143" max="6143" width="22" style="1" customWidth="1"/>
    <col min="6144" max="6144" width="10.140625" style="1" customWidth="1"/>
    <col min="6145" max="6145" width="8.28515625" style="1" customWidth="1"/>
    <col min="6146" max="6157" width="7.28515625" style="1" bestFit="1" customWidth="1"/>
    <col min="6158" max="6160" width="8.85546875" style="1" customWidth="1"/>
    <col min="6161" max="6398" width="9.140625" style="1"/>
    <col min="6399" max="6399" width="22" style="1" customWidth="1"/>
    <col min="6400" max="6400" width="10.140625" style="1" customWidth="1"/>
    <col min="6401" max="6401" width="8.28515625" style="1" customWidth="1"/>
    <col min="6402" max="6413" width="7.28515625" style="1" bestFit="1" customWidth="1"/>
    <col min="6414" max="6416" width="8.85546875" style="1" customWidth="1"/>
    <col min="6417" max="6654" width="9.140625" style="1"/>
    <col min="6655" max="6655" width="22" style="1" customWidth="1"/>
    <col min="6656" max="6656" width="10.140625" style="1" customWidth="1"/>
    <col min="6657" max="6657" width="8.28515625" style="1" customWidth="1"/>
    <col min="6658" max="6669" width="7.28515625" style="1" bestFit="1" customWidth="1"/>
    <col min="6670" max="6672" width="8.85546875" style="1" customWidth="1"/>
    <col min="6673" max="6910" width="9.140625" style="1"/>
    <col min="6911" max="6911" width="22" style="1" customWidth="1"/>
    <col min="6912" max="6912" width="10.140625" style="1" customWidth="1"/>
    <col min="6913" max="6913" width="8.28515625" style="1" customWidth="1"/>
    <col min="6914" max="6925" width="7.28515625" style="1" bestFit="1" customWidth="1"/>
    <col min="6926" max="6928" width="8.85546875" style="1" customWidth="1"/>
    <col min="6929" max="7166" width="9.140625" style="1"/>
    <col min="7167" max="7167" width="22" style="1" customWidth="1"/>
    <col min="7168" max="7168" width="10.140625" style="1" customWidth="1"/>
    <col min="7169" max="7169" width="8.28515625" style="1" customWidth="1"/>
    <col min="7170" max="7181" width="7.28515625" style="1" bestFit="1" customWidth="1"/>
    <col min="7182" max="7184" width="8.85546875" style="1" customWidth="1"/>
    <col min="7185" max="7422" width="9.140625" style="1"/>
    <col min="7423" max="7423" width="22" style="1" customWidth="1"/>
    <col min="7424" max="7424" width="10.140625" style="1" customWidth="1"/>
    <col min="7425" max="7425" width="8.28515625" style="1" customWidth="1"/>
    <col min="7426" max="7437" width="7.28515625" style="1" bestFit="1" customWidth="1"/>
    <col min="7438" max="7440" width="8.85546875" style="1" customWidth="1"/>
    <col min="7441" max="7678" width="9.140625" style="1"/>
    <col min="7679" max="7679" width="22" style="1" customWidth="1"/>
    <col min="7680" max="7680" width="10.140625" style="1" customWidth="1"/>
    <col min="7681" max="7681" width="8.28515625" style="1" customWidth="1"/>
    <col min="7682" max="7693" width="7.28515625" style="1" bestFit="1" customWidth="1"/>
    <col min="7694" max="7696" width="8.85546875" style="1" customWidth="1"/>
    <col min="7697" max="7934" width="9.140625" style="1"/>
    <col min="7935" max="7935" width="22" style="1" customWidth="1"/>
    <col min="7936" max="7936" width="10.140625" style="1" customWidth="1"/>
    <col min="7937" max="7937" width="8.28515625" style="1" customWidth="1"/>
    <col min="7938" max="7949" width="7.28515625" style="1" bestFit="1" customWidth="1"/>
    <col min="7950" max="7952" width="8.85546875" style="1" customWidth="1"/>
    <col min="7953" max="8190" width="9.140625" style="1"/>
    <col min="8191" max="8191" width="22" style="1" customWidth="1"/>
    <col min="8192" max="8192" width="10.140625" style="1" customWidth="1"/>
    <col min="8193" max="8193" width="8.28515625" style="1" customWidth="1"/>
    <col min="8194" max="8205" width="7.28515625" style="1" bestFit="1" customWidth="1"/>
    <col min="8206" max="8208" width="8.85546875" style="1" customWidth="1"/>
    <col min="8209" max="8446" width="9.140625" style="1"/>
    <col min="8447" max="8447" width="22" style="1" customWidth="1"/>
    <col min="8448" max="8448" width="10.140625" style="1" customWidth="1"/>
    <col min="8449" max="8449" width="8.28515625" style="1" customWidth="1"/>
    <col min="8450" max="8461" width="7.28515625" style="1" bestFit="1" customWidth="1"/>
    <col min="8462" max="8464" width="8.85546875" style="1" customWidth="1"/>
    <col min="8465" max="8702" width="9.140625" style="1"/>
    <col min="8703" max="8703" width="22" style="1" customWidth="1"/>
    <col min="8704" max="8704" width="10.140625" style="1" customWidth="1"/>
    <col min="8705" max="8705" width="8.28515625" style="1" customWidth="1"/>
    <col min="8706" max="8717" width="7.28515625" style="1" bestFit="1" customWidth="1"/>
    <col min="8718" max="8720" width="8.85546875" style="1" customWidth="1"/>
    <col min="8721" max="8958" width="9.140625" style="1"/>
    <col min="8959" max="8959" width="22" style="1" customWidth="1"/>
    <col min="8960" max="8960" width="10.140625" style="1" customWidth="1"/>
    <col min="8961" max="8961" width="8.28515625" style="1" customWidth="1"/>
    <col min="8962" max="8973" width="7.28515625" style="1" bestFit="1" customWidth="1"/>
    <col min="8974" max="8976" width="8.85546875" style="1" customWidth="1"/>
    <col min="8977" max="9214" width="9.140625" style="1"/>
    <col min="9215" max="9215" width="22" style="1" customWidth="1"/>
    <col min="9216" max="9216" width="10.140625" style="1" customWidth="1"/>
    <col min="9217" max="9217" width="8.28515625" style="1" customWidth="1"/>
    <col min="9218" max="9229" width="7.28515625" style="1" bestFit="1" customWidth="1"/>
    <col min="9230" max="9232" width="8.85546875" style="1" customWidth="1"/>
    <col min="9233" max="9470" width="9.140625" style="1"/>
    <col min="9471" max="9471" width="22" style="1" customWidth="1"/>
    <col min="9472" max="9472" width="10.140625" style="1" customWidth="1"/>
    <col min="9473" max="9473" width="8.28515625" style="1" customWidth="1"/>
    <col min="9474" max="9485" width="7.28515625" style="1" bestFit="1" customWidth="1"/>
    <col min="9486" max="9488" width="8.85546875" style="1" customWidth="1"/>
    <col min="9489" max="9726" width="9.140625" style="1"/>
    <col min="9727" max="9727" width="22" style="1" customWidth="1"/>
    <col min="9728" max="9728" width="10.140625" style="1" customWidth="1"/>
    <col min="9729" max="9729" width="8.28515625" style="1" customWidth="1"/>
    <col min="9730" max="9741" width="7.28515625" style="1" bestFit="1" customWidth="1"/>
    <col min="9742" max="9744" width="8.85546875" style="1" customWidth="1"/>
    <col min="9745" max="9982" width="9.140625" style="1"/>
    <col min="9983" max="9983" width="22" style="1" customWidth="1"/>
    <col min="9984" max="9984" width="10.140625" style="1" customWidth="1"/>
    <col min="9985" max="9985" width="8.28515625" style="1" customWidth="1"/>
    <col min="9986" max="9997" width="7.28515625" style="1" bestFit="1" customWidth="1"/>
    <col min="9998" max="10000" width="8.85546875" style="1" customWidth="1"/>
    <col min="10001" max="10238" width="9.140625" style="1"/>
    <col min="10239" max="10239" width="22" style="1" customWidth="1"/>
    <col min="10240" max="10240" width="10.140625" style="1" customWidth="1"/>
    <col min="10241" max="10241" width="8.28515625" style="1" customWidth="1"/>
    <col min="10242" max="10253" width="7.28515625" style="1" bestFit="1" customWidth="1"/>
    <col min="10254" max="10256" width="8.85546875" style="1" customWidth="1"/>
    <col min="10257" max="10494" width="9.140625" style="1"/>
    <col min="10495" max="10495" width="22" style="1" customWidth="1"/>
    <col min="10496" max="10496" width="10.140625" style="1" customWidth="1"/>
    <col min="10497" max="10497" width="8.28515625" style="1" customWidth="1"/>
    <col min="10498" max="10509" width="7.28515625" style="1" bestFit="1" customWidth="1"/>
    <col min="10510" max="10512" width="8.85546875" style="1" customWidth="1"/>
    <col min="10513" max="10750" width="9.140625" style="1"/>
    <col min="10751" max="10751" width="22" style="1" customWidth="1"/>
    <col min="10752" max="10752" width="10.140625" style="1" customWidth="1"/>
    <col min="10753" max="10753" width="8.28515625" style="1" customWidth="1"/>
    <col min="10754" max="10765" width="7.28515625" style="1" bestFit="1" customWidth="1"/>
    <col min="10766" max="10768" width="8.85546875" style="1" customWidth="1"/>
    <col min="10769" max="11006" width="9.140625" style="1"/>
    <col min="11007" max="11007" width="22" style="1" customWidth="1"/>
    <col min="11008" max="11008" width="10.140625" style="1" customWidth="1"/>
    <col min="11009" max="11009" width="8.28515625" style="1" customWidth="1"/>
    <col min="11010" max="11021" width="7.28515625" style="1" bestFit="1" customWidth="1"/>
    <col min="11022" max="11024" width="8.85546875" style="1" customWidth="1"/>
    <col min="11025" max="11262" width="9.140625" style="1"/>
    <col min="11263" max="11263" width="22" style="1" customWidth="1"/>
    <col min="11264" max="11264" width="10.140625" style="1" customWidth="1"/>
    <col min="11265" max="11265" width="8.28515625" style="1" customWidth="1"/>
    <col min="11266" max="11277" width="7.28515625" style="1" bestFit="1" customWidth="1"/>
    <col min="11278" max="11280" width="8.85546875" style="1" customWidth="1"/>
    <col min="11281" max="11518" width="9.140625" style="1"/>
    <col min="11519" max="11519" width="22" style="1" customWidth="1"/>
    <col min="11520" max="11520" width="10.140625" style="1" customWidth="1"/>
    <col min="11521" max="11521" width="8.28515625" style="1" customWidth="1"/>
    <col min="11522" max="11533" width="7.28515625" style="1" bestFit="1" customWidth="1"/>
    <col min="11534" max="11536" width="8.85546875" style="1" customWidth="1"/>
    <col min="11537" max="11774" width="9.140625" style="1"/>
    <col min="11775" max="11775" width="22" style="1" customWidth="1"/>
    <col min="11776" max="11776" width="10.140625" style="1" customWidth="1"/>
    <col min="11777" max="11777" width="8.28515625" style="1" customWidth="1"/>
    <col min="11778" max="11789" width="7.28515625" style="1" bestFit="1" customWidth="1"/>
    <col min="11790" max="11792" width="8.85546875" style="1" customWidth="1"/>
    <col min="11793" max="12030" width="9.140625" style="1"/>
    <col min="12031" max="12031" width="22" style="1" customWidth="1"/>
    <col min="12032" max="12032" width="10.140625" style="1" customWidth="1"/>
    <col min="12033" max="12033" width="8.28515625" style="1" customWidth="1"/>
    <col min="12034" max="12045" width="7.28515625" style="1" bestFit="1" customWidth="1"/>
    <col min="12046" max="12048" width="8.85546875" style="1" customWidth="1"/>
    <col min="12049" max="12286" width="9.140625" style="1"/>
    <col min="12287" max="12287" width="22" style="1" customWidth="1"/>
    <col min="12288" max="12288" width="10.140625" style="1" customWidth="1"/>
    <col min="12289" max="12289" width="8.28515625" style="1" customWidth="1"/>
    <col min="12290" max="12301" width="7.28515625" style="1" bestFit="1" customWidth="1"/>
    <col min="12302" max="12304" width="8.85546875" style="1" customWidth="1"/>
    <col min="12305" max="12542" width="9.140625" style="1"/>
    <col min="12543" max="12543" width="22" style="1" customWidth="1"/>
    <col min="12544" max="12544" width="10.140625" style="1" customWidth="1"/>
    <col min="12545" max="12545" width="8.28515625" style="1" customWidth="1"/>
    <col min="12546" max="12557" width="7.28515625" style="1" bestFit="1" customWidth="1"/>
    <col min="12558" max="12560" width="8.85546875" style="1" customWidth="1"/>
    <col min="12561" max="12798" width="9.140625" style="1"/>
    <col min="12799" max="12799" width="22" style="1" customWidth="1"/>
    <col min="12800" max="12800" width="10.140625" style="1" customWidth="1"/>
    <col min="12801" max="12801" width="8.28515625" style="1" customWidth="1"/>
    <col min="12802" max="12813" width="7.28515625" style="1" bestFit="1" customWidth="1"/>
    <col min="12814" max="12816" width="8.85546875" style="1" customWidth="1"/>
    <col min="12817" max="13054" width="9.140625" style="1"/>
    <col min="13055" max="13055" width="22" style="1" customWidth="1"/>
    <col min="13056" max="13056" width="10.140625" style="1" customWidth="1"/>
    <col min="13057" max="13057" width="8.28515625" style="1" customWidth="1"/>
    <col min="13058" max="13069" width="7.28515625" style="1" bestFit="1" customWidth="1"/>
    <col min="13070" max="13072" width="8.85546875" style="1" customWidth="1"/>
    <col min="13073" max="13310" width="9.140625" style="1"/>
    <col min="13311" max="13311" width="22" style="1" customWidth="1"/>
    <col min="13312" max="13312" width="10.140625" style="1" customWidth="1"/>
    <col min="13313" max="13313" width="8.28515625" style="1" customWidth="1"/>
    <col min="13314" max="13325" width="7.28515625" style="1" bestFit="1" customWidth="1"/>
    <col min="13326" max="13328" width="8.85546875" style="1" customWidth="1"/>
    <col min="13329" max="13566" width="9.140625" style="1"/>
    <col min="13567" max="13567" width="22" style="1" customWidth="1"/>
    <col min="13568" max="13568" width="10.140625" style="1" customWidth="1"/>
    <col min="13569" max="13569" width="8.28515625" style="1" customWidth="1"/>
    <col min="13570" max="13581" width="7.28515625" style="1" bestFit="1" customWidth="1"/>
    <col min="13582" max="13584" width="8.85546875" style="1" customWidth="1"/>
    <col min="13585" max="13822" width="9.140625" style="1"/>
    <col min="13823" max="13823" width="22" style="1" customWidth="1"/>
    <col min="13824" max="13824" width="10.140625" style="1" customWidth="1"/>
    <col min="13825" max="13825" width="8.28515625" style="1" customWidth="1"/>
    <col min="13826" max="13837" width="7.28515625" style="1" bestFit="1" customWidth="1"/>
    <col min="13838" max="13840" width="8.85546875" style="1" customWidth="1"/>
    <col min="13841" max="14078" width="9.140625" style="1"/>
    <col min="14079" max="14079" width="22" style="1" customWidth="1"/>
    <col min="14080" max="14080" width="10.140625" style="1" customWidth="1"/>
    <col min="14081" max="14081" width="8.28515625" style="1" customWidth="1"/>
    <col min="14082" max="14093" width="7.28515625" style="1" bestFit="1" customWidth="1"/>
    <col min="14094" max="14096" width="8.85546875" style="1" customWidth="1"/>
    <col min="14097" max="14334" width="9.140625" style="1"/>
    <col min="14335" max="14335" width="22" style="1" customWidth="1"/>
    <col min="14336" max="14336" width="10.140625" style="1" customWidth="1"/>
    <col min="14337" max="14337" width="8.28515625" style="1" customWidth="1"/>
    <col min="14338" max="14349" width="7.28515625" style="1" bestFit="1" customWidth="1"/>
    <col min="14350" max="14352" width="8.85546875" style="1" customWidth="1"/>
    <col min="14353" max="14590" width="9.140625" style="1"/>
    <col min="14591" max="14591" width="22" style="1" customWidth="1"/>
    <col min="14592" max="14592" width="10.140625" style="1" customWidth="1"/>
    <col min="14593" max="14593" width="8.28515625" style="1" customWidth="1"/>
    <col min="14594" max="14605" width="7.28515625" style="1" bestFit="1" customWidth="1"/>
    <col min="14606" max="14608" width="8.85546875" style="1" customWidth="1"/>
    <col min="14609" max="14846" width="9.140625" style="1"/>
    <col min="14847" max="14847" width="22" style="1" customWidth="1"/>
    <col min="14848" max="14848" width="10.140625" style="1" customWidth="1"/>
    <col min="14849" max="14849" width="8.28515625" style="1" customWidth="1"/>
    <col min="14850" max="14861" width="7.28515625" style="1" bestFit="1" customWidth="1"/>
    <col min="14862" max="14864" width="8.85546875" style="1" customWidth="1"/>
    <col min="14865" max="15102" width="9.140625" style="1"/>
    <col min="15103" max="15103" width="22" style="1" customWidth="1"/>
    <col min="15104" max="15104" width="10.140625" style="1" customWidth="1"/>
    <col min="15105" max="15105" width="8.28515625" style="1" customWidth="1"/>
    <col min="15106" max="15117" width="7.28515625" style="1" bestFit="1" customWidth="1"/>
    <col min="15118" max="15120" width="8.85546875" style="1" customWidth="1"/>
    <col min="15121" max="15358" width="9.140625" style="1"/>
    <col min="15359" max="15359" width="22" style="1" customWidth="1"/>
    <col min="15360" max="15360" width="10.140625" style="1" customWidth="1"/>
    <col min="15361" max="15361" width="8.28515625" style="1" customWidth="1"/>
    <col min="15362" max="15373" width="7.28515625" style="1" bestFit="1" customWidth="1"/>
    <col min="15374" max="15376" width="8.85546875" style="1" customWidth="1"/>
    <col min="15377" max="15614" width="9.140625" style="1"/>
    <col min="15615" max="15615" width="22" style="1" customWidth="1"/>
    <col min="15616" max="15616" width="10.140625" style="1" customWidth="1"/>
    <col min="15617" max="15617" width="8.28515625" style="1" customWidth="1"/>
    <col min="15618" max="15629" width="7.28515625" style="1" bestFit="1" customWidth="1"/>
    <col min="15630" max="15632" width="8.85546875" style="1" customWidth="1"/>
    <col min="15633" max="15870" width="9.140625" style="1"/>
    <col min="15871" max="15871" width="22" style="1" customWidth="1"/>
    <col min="15872" max="15872" width="10.140625" style="1" customWidth="1"/>
    <col min="15873" max="15873" width="8.28515625" style="1" customWidth="1"/>
    <col min="15874" max="15885" width="7.28515625" style="1" bestFit="1" customWidth="1"/>
    <col min="15886" max="15888" width="8.85546875" style="1" customWidth="1"/>
    <col min="15889" max="16126" width="9.140625" style="1"/>
    <col min="16127" max="16127" width="22" style="1" customWidth="1"/>
    <col min="16128" max="16128" width="10.140625" style="1" customWidth="1"/>
    <col min="16129" max="16129" width="8.28515625" style="1" customWidth="1"/>
    <col min="16130" max="16141" width="7.28515625" style="1" bestFit="1" customWidth="1"/>
    <col min="16142" max="16144" width="8.85546875" style="1" customWidth="1"/>
    <col min="16145" max="16384" width="9.140625" style="1"/>
  </cols>
  <sheetData>
    <row r="1" spans="1:22" x14ac:dyDescent="0.25">
      <c r="A1" s="3" t="s">
        <v>113</v>
      </c>
      <c r="B1" s="4">
        <v>1989</v>
      </c>
      <c r="C1" s="4">
        <v>1990</v>
      </c>
      <c r="D1" s="4">
        <v>1991</v>
      </c>
      <c r="E1" s="4">
        <v>1992</v>
      </c>
      <c r="F1" s="4">
        <v>1993</v>
      </c>
      <c r="G1" s="4">
        <v>1994</v>
      </c>
      <c r="H1" s="4">
        <v>1995</v>
      </c>
      <c r="I1" s="4">
        <v>1996</v>
      </c>
      <c r="J1" s="4">
        <v>1997</v>
      </c>
      <c r="K1" s="4">
        <v>1998</v>
      </c>
      <c r="L1" s="4">
        <v>1999</v>
      </c>
      <c r="M1" s="4">
        <v>2000</v>
      </c>
      <c r="N1" s="4">
        <v>2001</v>
      </c>
      <c r="O1" s="4">
        <v>2002</v>
      </c>
      <c r="P1" s="4">
        <v>2003</v>
      </c>
      <c r="Q1" s="4">
        <v>2004</v>
      </c>
      <c r="R1" s="4">
        <v>2005</v>
      </c>
      <c r="S1" s="4">
        <v>2006</v>
      </c>
      <c r="T1" s="4">
        <v>2007</v>
      </c>
      <c r="U1" s="4">
        <v>2008</v>
      </c>
      <c r="V1" s="4"/>
    </row>
    <row r="2" spans="1:22" x14ac:dyDescent="0.25">
      <c r="A2" s="1" t="s">
        <v>63</v>
      </c>
      <c r="B2" s="9">
        <v>80</v>
      </c>
      <c r="C2" s="9">
        <v>85.8</v>
      </c>
      <c r="D2" s="9">
        <v>90</v>
      </c>
      <c r="E2" s="9">
        <v>80.8</v>
      </c>
      <c r="F2" s="10">
        <v>80.900000000000006</v>
      </c>
      <c r="G2" s="10">
        <v>73.400000000000006</v>
      </c>
      <c r="H2" s="10">
        <v>78.599999999999994</v>
      </c>
      <c r="I2" s="9">
        <v>81</v>
      </c>
      <c r="J2" s="11">
        <v>86.2</v>
      </c>
      <c r="K2" s="11">
        <v>68.8</v>
      </c>
      <c r="L2" s="9">
        <v>78</v>
      </c>
      <c r="M2" s="11">
        <v>111.6</v>
      </c>
      <c r="N2" s="9">
        <v>102.6</v>
      </c>
      <c r="O2" s="9">
        <v>99.1</v>
      </c>
      <c r="P2" s="9">
        <v>116.9</v>
      </c>
      <c r="Q2" s="8">
        <v>146.6</v>
      </c>
      <c r="R2" s="8">
        <v>184.7</v>
      </c>
      <c r="S2" s="8">
        <v>214.6</v>
      </c>
      <c r="T2" s="8">
        <v>238.4</v>
      </c>
      <c r="U2" s="8">
        <v>284.8</v>
      </c>
    </row>
    <row r="3" spans="1:22" x14ac:dyDescent="0.25">
      <c r="A3" s="1" t="s">
        <v>64</v>
      </c>
      <c r="B3" s="9">
        <v>78.400000000000006</v>
      </c>
      <c r="C3" s="9">
        <v>84.9</v>
      </c>
      <c r="D3" s="9">
        <v>85.2</v>
      </c>
      <c r="E3" s="9">
        <v>79.599999999999994</v>
      </c>
      <c r="F3" s="10">
        <v>80.3</v>
      </c>
      <c r="G3" s="10">
        <v>72.2</v>
      </c>
      <c r="H3" s="10">
        <v>78.900000000000006</v>
      </c>
      <c r="I3" s="9">
        <v>79.5</v>
      </c>
      <c r="J3" s="11">
        <v>84.3</v>
      </c>
      <c r="K3" s="11">
        <v>65.400000000000006</v>
      </c>
      <c r="L3" s="11">
        <v>76.400000000000006</v>
      </c>
      <c r="M3" s="11">
        <v>113.6</v>
      </c>
      <c r="N3" s="9">
        <v>107.9</v>
      </c>
      <c r="O3" s="9">
        <v>98.1</v>
      </c>
      <c r="P3" s="9">
        <v>119.4</v>
      </c>
      <c r="Q3" s="8">
        <v>146.4</v>
      </c>
      <c r="R3" s="8">
        <v>184.3</v>
      </c>
      <c r="S3" s="8">
        <v>217</v>
      </c>
      <c r="T3" s="8">
        <v>234.8</v>
      </c>
      <c r="U3" s="8">
        <v>280.89999999999998</v>
      </c>
    </row>
    <row r="4" spans="1:22" x14ac:dyDescent="0.25">
      <c r="A4" s="1" t="s">
        <v>65</v>
      </c>
      <c r="B4" s="9">
        <v>80.599999999999994</v>
      </c>
      <c r="C4" s="9">
        <v>88.8</v>
      </c>
      <c r="D4" s="9">
        <v>91.6</v>
      </c>
      <c r="E4" s="9">
        <v>83.6</v>
      </c>
      <c r="F4" s="10">
        <v>82.7</v>
      </c>
      <c r="G4" s="10">
        <v>76.2</v>
      </c>
      <c r="H4" s="9">
        <v>80</v>
      </c>
      <c r="I4" s="9">
        <v>82.9</v>
      </c>
      <c r="J4" s="11">
        <v>85.5</v>
      </c>
      <c r="K4" s="11">
        <v>65.099999999999994</v>
      </c>
      <c r="L4" s="11">
        <v>77.599999999999994</v>
      </c>
      <c r="M4" s="11">
        <v>112.6</v>
      </c>
      <c r="N4" s="9">
        <v>104.9</v>
      </c>
      <c r="O4" s="9">
        <v>100</v>
      </c>
      <c r="P4" s="9">
        <v>119.9</v>
      </c>
      <c r="Q4" s="8">
        <v>150.6</v>
      </c>
      <c r="R4" s="8">
        <v>189.4</v>
      </c>
      <c r="S4" s="8">
        <v>219.6</v>
      </c>
      <c r="T4" s="8">
        <v>242</v>
      </c>
      <c r="U4" s="8">
        <v>292.5</v>
      </c>
    </row>
    <row r="5" spans="1:22" x14ac:dyDescent="0.25">
      <c r="A5" s="1" t="s">
        <v>66</v>
      </c>
      <c r="B5" s="9">
        <v>79.8</v>
      </c>
      <c r="C5" s="9">
        <v>82.9</v>
      </c>
      <c r="D5" s="9">
        <v>83.1</v>
      </c>
      <c r="E5" s="9">
        <v>76.5</v>
      </c>
      <c r="F5" s="9">
        <v>79</v>
      </c>
      <c r="G5" s="10">
        <v>69.2</v>
      </c>
      <c r="H5" s="10">
        <v>78.2</v>
      </c>
      <c r="I5" s="9">
        <v>80.3</v>
      </c>
      <c r="J5" s="11">
        <v>84.5</v>
      </c>
      <c r="K5" s="11">
        <v>63.6</v>
      </c>
      <c r="L5" s="9">
        <v>75</v>
      </c>
      <c r="M5" s="11">
        <v>114.7</v>
      </c>
      <c r="N5" s="9">
        <v>108.9</v>
      </c>
      <c r="O5" s="9">
        <v>98.2</v>
      </c>
      <c r="P5" s="9">
        <v>119.3</v>
      </c>
      <c r="Q5" s="8">
        <v>146.19999999999999</v>
      </c>
      <c r="R5" s="8">
        <v>184.7</v>
      </c>
      <c r="S5" s="8">
        <v>216.3</v>
      </c>
      <c r="T5" s="8">
        <v>236.6</v>
      </c>
      <c r="U5" s="8">
        <v>282</v>
      </c>
    </row>
    <row r="6" spans="1:22" x14ac:dyDescent="0.25">
      <c r="A6" s="1" t="s">
        <v>67</v>
      </c>
      <c r="B6" s="9">
        <v>77.3</v>
      </c>
      <c r="C6" s="9">
        <v>81.7</v>
      </c>
      <c r="D6" s="9">
        <v>82.9</v>
      </c>
      <c r="E6" s="9">
        <v>74.400000000000006</v>
      </c>
      <c r="F6" s="9">
        <v>77.599999999999994</v>
      </c>
      <c r="G6" s="10">
        <v>71.099999999999994</v>
      </c>
      <c r="H6" s="10">
        <v>73.599999999999994</v>
      </c>
      <c r="I6" s="9">
        <v>77.2</v>
      </c>
      <c r="J6" s="11">
        <v>80.8</v>
      </c>
      <c r="K6" s="11">
        <v>59.8</v>
      </c>
      <c r="L6" s="11">
        <v>71.2</v>
      </c>
      <c r="M6" s="11">
        <v>109.1</v>
      </c>
      <c r="N6" s="9">
        <v>103.3</v>
      </c>
      <c r="O6" s="9">
        <v>95.6</v>
      </c>
      <c r="P6" s="9">
        <v>115</v>
      </c>
      <c r="Q6" s="8">
        <v>142.6</v>
      </c>
      <c r="R6" s="8">
        <v>179.9</v>
      </c>
      <c r="S6" s="8">
        <v>214.5</v>
      </c>
      <c r="T6" s="8">
        <v>229.4</v>
      </c>
      <c r="U6" s="8">
        <v>272.89999999999998</v>
      </c>
    </row>
    <row r="7" spans="1:22" x14ac:dyDescent="0.25">
      <c r="A7" s="1" t="s">
        <v>68</v>
      </c>
      <c r="B7" s="9">
        <v>82.8</v>
      </c>
      <c r="C7" s="9">
        <v>82.9</v>
      </c>
      <c r="D7" s="9">
        <v>83</v>
      </c>
      <c r="E7" s="9">
        <v>78.3</v>
      </c>
      <c r="F7" s="9">
        <v>81.599999999999994</v>
      </c>
      <c r="G7" s="10">
        <v>72.3</v>
      </c>
      <c r="H7" s="10">
        <v>76.8</v>
      </c>
      <c r="I7" s="9">
        <v>80.099999999999994</v>
      </c>
      <c r="J7" s="11">
        <v>82.9</v>
      </c>
      <c r="K7" s="11">
        <v>63.3</v>
      </c>
      <c r="L7" s="11">
        <v>74.599999999999994</v>
      </c>
      <c r="M7" s="11">
        <v>113.3</v>
      </c>
      <c r="N7" s="9">
        <v>108.6</v>
      </c>
      <c r="O7" s="9">
        <v>98</v>
      </c>
      <c r="P7" s="9">
        <v>118</v>
      </c>
      <c r="Q7" s="8">
        <v>147.19999999999999</v>
      </c>
      <c r="R7" s="8">
        <v>185</v>
      </c>
      <c r="S7" s="8">
        <v>220</v>
      </c>
      <c r="T7" s="8">
        <v>238.1</v>
      </c>
      <c r="U7" s="8">
        <v>280.39999999999998</v>
      </c>
    </row>
    <row r="8" spans="1:22" x14ac:dyDescent="0.25">
      <c r="A8" s="1" t="s">
        <v>69</v>
      </c>
      <c r="B8" s="9">
        <v>75.5</v>
      </c>
      <c r="C8" s="9">
        <v>78.7</v>
      </c>
      <c r="D8" s="9">
        <v>87</v>
      </c>
      <c r="E8" s="9">
        <v>74.8</v>
      </c>
      <c r="F8" s="9">
        <v>75.8</v>
      </c>
      <c r="G8" s="10">
        <v>68.7</v>
      </c>
      <c r="H8" s="10">
        <v>75.099999999999994</v>
      </c>
      <c r="I8" s="9">
        <v>77.400000000000006</v>
      </c>
      <c r="J8" s="11">
        <v>81.5</v>
      </c>
      <c r="K8" s="11">
        <v>62.6</v>
      </c>
      <c r="L8" s="9">
        <v>74</v>
      </c>
      <c r="M8" s="11">
        <v>109.1</v>
      </c>
      <c r="N8" s="9">
        <v>102.8</v>
      </c>
      <c r="O8" s="9">
        <v>95.1</v>
      </c>
      <c r="P8" s="9">
        <v>116.6</v>
      </c>
      <c r="Q8" s="8">
        <v>145.5</v>
      </c>
      <c r="R8" s="8">
        <v>182.4</v>
      </c>
      <c r="S8" s="8">
        <v>214.3</v>
      </c>
      <c r="T8" s="8">
        <v>233.5</v>
      </c>
      <c r="U8" s="8">
        <v>282.8</v>
      </c>
    </row>
    <row r="9" spans="1:22" x14ac:dyDescent="0.25">
      <c r="A9" s="1" t="s">
        <v>70</v>
      </c>
      <c r="B9" s="9">
        <v>79.099999999999994</v>
      </c>
      <c r="C9" s="9">
        <v>80.3</v>
      </c>
      <c r="D9" s="9">
        <v>83.4</v>
      </c>
      <c r="E9" s="9">
        <v>77.8</v>
      </c>
      <c r="F9" s="9">
        <v>85.4</v>
      </c>
      <c r="G9" s="10">
        <v>74.900000000000006</v>
      </c>
      <c r="H9" s="10">
        <v>81.400000000000006</v>
      </c>
      <c r="I9" s="9">
        <v>81.900000000000006</v>
      </c>
      <c r="J9" s="11">
        <v>81.5</v>
      </c>
      <c r="K9" s="11">
        <v>63.5</v>
      </c>
      <c r="L9" s="11">
        <v>74.7</v>
      </c>
      <c r="M9" s="11">
        <v>112.8</v>
      </c>
      <c r="N9" s="9">
        <v>108.2</v>
      </c>
      <c r="O9" s="9">
        <v>98.4</v>
      </c>
      <c r="P9" s="9">
        <v>120.5</v>
      </c>
      <c r="Q9" s="8">
        <v>148.1</v>
      </c>
      <c r="R9" s="8">
        <v>186.8</v>
      </c>
      <c r="S9" s="8">
        <v>218.8</v>
      </c>
      <c r="T9" s="8">
        <v>231.7</v>
      </c>
      <c r="U9" s="8">
        <v>281.7</v>
      </c>
    </row>
    <row r="10" spans="1:22" x14ac:dyDescent="0.25">
      <c r="A10" s="1" t="s">
        <v>71</v>
      </c>
      <c r="B10" s="9">
        <v>70.7</v>
      </c>
      <c r="C10" s="9">
        <v>77.099999999999994</v>
      </c>
      <c r="D10" s="9">
        <v>82.4</v>
      </c>
      <c r="E10" s="9">
        <v>72.5</v>
      </c>
      <c r="F10" s="9">
        <v>72.3</v>
      </c>
      <c r="G10" s="10">
        <v>65.7</v>
      </c>
      <c r="H10" s="10">
        <v>73.5</v>
      </c>
      <c r="I10" s="9">
        <v>74.900000000000006</v>
      </c>
      <c r="J10" s="11">
        <v>77.3</v>
      </c>
      <c r="K10" s="11">
        <v>58.1</v>
      </c>
      <c r="L10" s="11">
        <v>67.7</v>
      </c>
      <c r="M10" s="11">
        <v>103.1</v>
      </c>
      <c r="N10" s="9">
        <v>95.3</v>
      </c>
      <c r="O10" s="9">
        <v>88.7</v>
      </c>
      <c r="P10" s="9">
        <v>109.2</v>
      </c>
      <c r="Q10" s="8">
        <v>138.1</v>
      </c>
      <c r="R10" s="8">
        <v>176.8</v>
      </c>
      <c r="S10" s="8">
        <v>208.3</v>
      </c>
      <c r="T10" s="8">
        <v>228.2</v>
      </c>
      <c r="U10" s="8">
        <v>274.2</v>
      </c>
    </row>
    <row r="11" spans="1:22" x14ac:dyDescent="0.25">
      <c r="A11" s="1" t="s">
        <v>72</v>
      </c>
      <c r="B11" s="9">
        <v>71.7</v>
      </c>
      <c r="C11" s="9">
        <v>75</v>
      </c>
      <c r="D11" s="9">
        <v>73.400000000000006</v>
      </c>
      <c r="E11" s="9">
        <v>73.3</v>
      </c>
      <c r="F11" s="9">
        <v>71.400000000000006</v>
      </c>
      <c r="G11" s="10">
        <v>66.3</v>
      </c>
      <c r="H11" s="10">
        <v>69.599999999999994</v>
      </c>
      <c r="I11" s="9">
        <v>74.099999999999994</v>
      </c>
      <c r="J11" s="11">
        <v>77.099999999999994</v>
      </c>
      <c r="K11" s="11">
        <v>63.4</v>
      </c>
      <c r="L11" s="11">
        <v>73.900000000000006</v>
      </c>
      <c r="M11" s="11">
        <v>107.4</v>
      </c>
      <c r="N11" s="9">
        <v>102</v>
      </c>
      <c r="O11" s="9">
        <v>94.8</v>
      </c>
      <c r="P11" s="9">
        <v>111.7</v>
      </c>
      <c r="Q11" s="8">
        <v>138.4</v>
      </c>
      <c r="R11" s="8">
        <v>177</v>
      </c>
      <c r="S11" s="8">
        <v>204.5</v>
      </c>
      <c r="T11" s="8">
        <v>231.5</v>
      </c>
      <c r="U11" s="14">
        <v>269.5</v>
      </c>
    </row>
    <row r="12" spans="1:22" x14ac:dyDescent="0.25">
      <c r="A12" s="1" t="s">
        <v>73</v>
      </c>
      <c r="B12" s="9">
        <v>66.8</v>
      </c>
      <c r="C12" s="9">
        <v>75.099999999999994</v>
      </c>
      <c r="D12" s="9">
        <v>77.3</v>
      </c>
      <c r="E12" s="9">
        <v>68.900000000000006</v>
      </c>
      <c r="F12" s="9">
        <v>71.599999999999994</v>
      </c>
      <c r="G12" s="10">
        <v>65.099999999999994</v>
      </c>
      <c r="H12" s="10">
        <v>70.400000000000006</v>
      </c>
      <c r="I12" s="9">
        <v>71.5</v>
      </c>
      <c r="J12" s="11">
        <v>77.900000000000006</v>
      </c>
      <c r="K12" s="11">
        <v>61.7</v>
      </c>
      <c r="L12" s="11">
        <v>70.7</v>
      </c>
      <c r="M12" s="11">
        <v>106.9</v>
      </c>
      <c r="N12" s="9">
        <v>103.3</v>
      </c>
      <c r="O12" s="9">
        <v>93.7</v>
      </c>
      <c r="P12" s="9">
        <v>111.2</v>
      </c>
      <c r="Q12" s="8">
        <v>138.5</v>
      </c>
      <c r="R12" s="8">
        <v>177</v>
      </c>
      <c r="S12" s="8">
        <v>205.2</v>
      </c>
      <c r="T12" s="8">
        <v>230.5</v>
      </c>
      <c r="U12" s="14">
        <v>273.39999999999998</v>
      </c>
    </row>
    <row r="13" spans="1:22" x14ac:dyDescent="0.25">
      <c r="A13" s="1" t="s">
        <v>74</v>
      </c>
      <c r="B13" s="9">
        <v>69.2</v>
      </c>
      <c r="C13" s="9">
        <v>73.2</v>
      </c>
      <c r="D13" s="9">
        <v>76.099999999999994</v>
      </c>
      <c r="E13" s="9">
        <v>69.599999999999994</v>
      </c>
      <c r="F13" s="9">
        <v>74.099999999999994</v>
      </c>
      <c r="G13" s="9">
        <v>64</v>
      </c>
      <c r="H13" s="9">
        <v>72</v>
      </c>
      <c r="I13" s="9">
        <v>76.900000000000006</v>
      </c>
      <c r="J13" s="11">
        <v>81.2</v>
      </c>
      <c r="K13" s="11">
        <v>65.2</v>
      </c>
      <c r="L13" s="11">
        <v>74.3</v>
      </c>
      <c r="M13" s="11">
        <v>112.3</v>
      </c>
      <c r="N13" s="9">
        <v>111</v>
      </c>
      <c r="O13" s="9">
        <v>99.8</v>
      </c>
      <c r="P13" s="9">
        <v>116.1</v>
      </c>
      <c r="Q13" s="8">
        <v>143.30000000000001</v>
      </c>
      <c r="R13" s="8">
        <v>181.7</v>
      </c>
      <c r="S13" s="8">
        <v>211.9</v>
      </c>
      <c r="T13" s="8">
        <v>237.5</v>
      </c>
      <c r="U13" s="14">
        <v>279.2</v>
      </c>
    </row>
    <row r="14" spans="1:22" x14ac:dyDescent="0.25">
      <c r="A14" s="1" t="s">
        <v>75</v>
      </c>
      <c r="B14" s="9">
        <v>66.900000000000006</v>
      </c>
      <c r="C14" s="9">
        <v>72.7</v>
      </c>
      <c r="D14" s="9">
        <v>74</v>
      </c>
      <c r="E14" s="9">
        <v>67.2</v>
      </c>
      <c r="F14" s="9">
        <v>70.8</v>
      </c>
      <c r="G14" s="10">
        <v>63.7</v>
      </c>
      <c r="H14" s="10">
        <v>69.099999999999994</v>
      </c>
      <c r="I14" s="9">
        <v>71.7</v>
      </c>
      <c r="J14" s="9">
        <v>76</v>
      </c>
      <c r="K14" s="11">
        <v>60.4</v>
      </c>
      <c r="L14" s="11">
        <v>70.400000000000006</v>
      </c>
      <c r="M14" s="11">
        <v>108.4</v>
      </c>
      <c r="N14" s="9">
        <v>102.5</v>
      </c>
      <c r="O14" s="9">
        <v>94.4</v>
      </c>
      <c r="P14" s="9">
        <v>113.3</v>
      </c>
      <c r="Q14" s="8">
        <v>140.69999999999999</v>
      </c>
      <c r="R14" s="8">
        <v>181.3</v>
      </c>
      <c r="S14" s="8">
        <v>209.5</v>
      </c>
      <c r="T14" s="8">
        <v>235.7</v>
      </c>
      <c r="U14" s="14">
        <v>273.8</v>
      </c>
    </row>
    <row r="15" spans="1:22" x14ac:dyDescent="0.25">
      <c r="A15" s="1" t="s">
        <v>76</v>
      </c>
      <c r="B15" s="9">
        <v>67.5</v>
      </c>
      <c r="C15" s="9">
        <v>72.8</v>
      </c>
      <c r="D15" s="9">
        <v>76.8</v>
      </c>
      <c r="E15" s="9">
        <v>69.2</v>
      </c>
      <c r="F15" s="9">
        <v>73.5</v>
      </c>
      <c r="G15" s="10">
        <v>64.400000000000006</v>
      </c>
      <c r="H15" s="10">
        <v>70.5</v>
      </c>
      <c r="I15" s="9">
        <v>75.5</v>
      </c>
      <c r="J15" s="9">
        <v>80</v>
      </c>
      <c r="K15" s="11">
        <v>63.5</v>
      </c>
      <c r="L15" s="11">
        <v>73.7</v>
      </c>
      <c r="M15" s="11">
        <v>108.7</v>
      </c>
      <c r="N15" s="9">
        <v>105.4</v>
      </c>
      <c r="O15" s="9">
        <v>96.3</v>
      </c>
      <c r="P15" s="9">
        <v>114.7</v>
      </c>
      <c r="Q15" s="8">
        <v>142</v>
      </c>
      <c r="R15" s="8">
        <v>181.9</v>
      </c>
      <c r="S15" s="8">
        <v>211.9</v>
      </c>
      <c r="T15" s="8">
        <v>236.3</v>
      </c>
      <c r="U15" s="14">
        <v>273.89999999999998</v>
      </c>
    </row>
    <row r="16" spans="1:22" x14ac:dyDescent="0.25">
      <c r="A16" s="1" t="s">
        <v>77</v>
      </c>
      <c r="B16" s="9">
        <v>69.5</v>
      </c>
      <c r="C16" s="9">
        <v>77.900000000000006</v>
      </c>
      <c r="D16" s="9">
        <v>77.599999999999994</v>
      </c>
      <c r="E16" s="9">
        <v>73</v>
      </c>
      <c r="F16" s="9">
        <v>81.099999999999994</v>
      </c>
      <c r="G16" s="10">
        <v>72.400000000000006</v>
      </c>
      <c r="H16" s="10">
        <v>76.2</v>
      </c>
      <c r="I16" s="9">
        <v>77.3</v>
      </c>
      <c r="J16" s="11">
        <v>88.8</v>
      </c>
      <c r="K16" s="11">
        <v>70.7</v>
      </c>
      <c r="L16" s="11">
        <v>78.7</v>
      </c>
      <c r="M16" s="11">
        <v>112.9</v>
      </c>
      <c r="N16" s="9">
        <v>110.6</v>
      </c>
      <c r="O16" s="9">
        <v>101</v>
      </c>
      <c r="P16" s="9">
        <v>116.4</v>
      </c>
      <c r="Q16" s="8">
        <v>143.1</v>
      </c>
      <c r="R16" s="8">
        <v>179.1</v>
      </c>
      <c r="S16" s="8">
        <v>211.4</v>
      </c>
      <c r="T16" s="8">
        <v>237.5</v>
      </c>
      <c r="U16" s="14">
        <v>270</v>
      </c>
    </row>
    <row r="17" spans="1:21" x14ac:dyDescent="0.25">
      <c r="A17" s="1" t="s">
        <v>78</v>
      </c>
      <c r="B17" s="9">
        <v>67.900000000000006</v>
      </c>
      <c r="C17" s="9">
        <v>75.900000000000006</v>
      </c>
      <c r="D17" s="9">
        <v>80</v>
      </c>
      <c r="E17" s="9">
        <v>70.900000000000006</v>
      </c>
      <c r="F17" s="9">
        <v>72.900000000000006</v>
      </c>
      <c r="G17" s="10">
        <v>62.2</v>
      </c>
      <c r="H17" s="10">
        <v>67.5</v>
      </c>
      <c r="I17" s="9">
        <v>71.3</v>
      </c>
      <c r="J17" s="11">
        <v>79.2</v>
      </c>
      <c r="K17" s="9">
        <v>61</v>
      </c>
      <c r="L17" s="11">
        <v>69.3</v>
      </c>
      <c r="M17" s="11">
        <v>106.3</v>
      </c>
      <c r="N17" s="9">
        <v>101.8</v>
      </c>
      <c r="O17" s="9">
        <v>91.7</v>
      </c>
      <c r="P17" s="9">
        <v>108.4</v>
      </c>
      <c r="Q17" s="8">
        <v>136.19999999999999</v>
      </c>
      <c r="R17" s="8">
        <v>176.2</v>
      </c>
      <c r="S17" s="8">
        <v>206.9</v>
      </c>
      <c r="T17" s="8">
        <v>235.6</v>
      </c>
      <c r="U17" s="14">
        <v>272.3</v>
      </c>
    </row>
    <row r="18" spans="1:21" x14ac:dyDescent="0.25">
      <c r="A18" s="1" t="s">
        <v>79</v>
      </c>
      <c r="B18" s="9">
        <v>66</v>
      </c>
      <c r="C18" s="9">
        <v>71.8</v>
      </c>
      <c r="D18" s="9">
        <v>75.599999999999994</v>
      </c>
      <c r="E18" s="9">
        <v>68.400000000000006</v>
      </c>
      <c r="F18" s="9">
        <v>69.8</v>
      </c>
      <c r="G18" s="10">
        <v>61.5</v>
      </c>
      <c r="H18" s="10">
        <v>67.900000000000006</v>
      </c>
      <c r="I18" s="9">
        <v>70.5</v>
      </c>
      <c r="J18" s="11">
        <v>76.5</v>
      </c>
      <c r="K18" s="9">
        <v>58</v>
      </c>
      <c r="L18" s="11">
        <v>67.900000000000006</v>
      </c>
      <c r="M18" s="11">
        <v>104.3</v>
      </c>
      <c r="N18" s="9">
        <v>99.2</v>
      </c>
      <c r="O18" s="9">
        <v>92.7</v>
      </c>
      <c r="P18" s="9">
        <v>109.1</v>
      </c>
      <c r="Q18" s="8">
        <v>136.6</v>
      </c>
      <c r="R18" s="8">
        <v>178.8</v>
      </c>
      <c r="S18" s="8">
        <v>204.9</v>
      </c>
      <c r="T18" s="8">
        <v>228.6</v>
      </c>
      <c r="U18" s="14">
        <v>267.5</v>
      </c>
    </row>
    <row r="19" spans="1:21" x14ac:dyDescent="0.25">
      <c r="A19" s="1" t="s">
        <v>80</v>
      </c>
      <c r="B19" s="9">
        <v>72.5</v>
      </c>
      <c r="C19" s="9">
        <v>85.3</v>
      </c>
      <c r="D19" s="9">
        <v>82.8</v>
      </c>
      <c r="E19" s="9">
        <v>79.099999999999994</v>
      </c>
      <c r="F19" s="9">
        <v>85.1</v>
      </c>
      <c r="G19" s="10">
        <v>74.400000000000006</v>
      </c>
      <c r="H19" s="10">
        <v>76.3</v>
      </c>
      <c r="I19" s="9">
        <v>81.7</v>
      </c>
      <c r="J19" s="11">
        <v>88.9</v>
      </c>
      <c r="K19" s="11">
        <v>71.099999999999994</v>
      </c>
      <c r="L19" s="11">
        <v>79.099999999999994</v>
      </c>
      <c r="M19" s="11">
        <v>113.6</v>
      </c>
      <c r="N19" s="9">
        <v>110.9</v>
      </c>
      <c r="O19" s="9">
        <v>101.3</v>
      </c>
      <c r="P19" s="9">
        <v>116.6</v>
      </c>
      <c r="Q19" s="8">
        <v>145.69999999999999</v>
      </c>
      <c r="R19" s="8">
        <v>184.8</v>
      </c>
      <c r="S19" s="8">
        <v>213.5</v>
      </c>
      <c r="T19" s="8">
        <v>245.1</v>
      </c>
      <c r="U19" s="14">
        <v>278.2</v>
      </c>
    </row>
    <row r="20" spans="1:21" x14ac:dyDescent="0.25">
      <c r="A20" s="1" t="s">
        <v>81</v>
      </c>
      <c r="B20" s="9">
        <v>70.5</v>
      </c>
      <c r="C20" s="9">
        <v>83.1</v>
      </c>
      <c r="D20" s="9">
        <v>80.8</v>
      </c>
      <c r="E20" s="9">
        <v>75.900000000000006</v>
      </c>
      <c r="F20" s="9">
        <v>78.2</v>
      </c>
      <c r="G20" s="10">
        <v>70.900000000000006</v>
      </c>
      <c r="H20" s="10">
        <v>74.599999999999994</v>
      </c>
      <c r="I20" s="9">
        <v>75.2</v>
      </c>
      <c r="J20" s="11">
        <v>86.2</v>
      </c>
      <c r="K20" s="11">
        <v>69.7</v>
      </c>
      <c r="L20" s="11">
        <v>76.8</v>
      </c>
      <c r="M20" s="11">
        <v>114.3</v>
      </c>
      <c r="N20" s="9">
        <v>110.6</v>
      </c>
      <c r="O20" s="9">
        <v>98.3</v>
      </c>
      <c r="P20" s="9">
        <v>115</v>
      </c>
      <c r="Q20" s="8">
        <v>142.6</v>
      </c>
      <c r="R20" s="8">
        <v>183.8</v>
      </c>
      <c r="S20" s="8">
        <v>214.3</v>
      </c>
      <c r="T20" s="8">
        <v>240.6</v>
      </c>
      <c r="U20" s="14">
        <v>274.10000000000002</v>
      </c>
    </row>
    <row r="21" spans="1:21" x14ac:dyDescent="0.25">
      <c r="A21" s="1" t="s">
        <v>82</v>
      </c>
      <c r="B21" s="9">
        <v>70.3</v>
      </c>
      <c r="C21" s="9">
        <v>73</v>
      </c>
      <c r="D21" s="9">
        <v>80.900000000000006</v>
      </c>
      <c r="E21" s="9">
        <v>73.5</v>
      </c>
      <c r="F21" s="9">
        <v>76.8</v>
      </c>
      <c r="G21" s="10">
        <v>69.3</v>
      </c>
      <c r="H21" s="10">
        <v>71.099999999999994</v>
      </c>
      <c r="I21" s="9">
        <v>70.400000000000006</v>
      </c>
      <c r="J21" s="11">
        <v>79.8</v>
      </c>
      <c r="K21" s="11">
        <v>61.9</v>
      </c>
      <c r="L21" s="11">
        <v>69.5</v>
      </c>
      <c r="M21" s="11">
        <v>106.1</v>
      </c>
      <c r="N21" s="9">
        <v>101.2</v>
      </c>
      <c r="O21" s="9">
        <v>92.1</v>
      </c>
      <c r="P21" s="9">
        <v>108.6</v>
      </c>
      <c r="Q21" s="8">
        <v>137.69999999999999</v>
      </c>
      <c r="R21" s="8">
        <v>178.5</v>
      </c>
      <c r="S21" s="8">
        <v>209.2</v>
      </c>
      <c r="T21" s="8">
        <v>236.3</v>
      </c>
      <c r="U21" s="14">
        <v>266.8</v>
      </c>
    </row>
    <row r="22" spans="1:21" x14ac:dyDescent="0.25">
      <c r="A22" s="1" t="s">
        <v>83</v>
      </c>
      <c r="B22" s="9">
        <v>66.2</v>
      </c>
      <c r="C22" s="9">
        <v>73</v>
      </c>
      <c r="D22" s="9">
        <v>76.2</v>
      </c>
      <c r="E22" s="9">
        <v>72.2</v>
      </c>
      <c r="F22" s="9">
        <v>73.099999999999994</v>
      </c>
      <c r="G22" s="10">
        <v>62.5</v>
      </c>
      <c r="H22" s="10">
        <v>68.400000000000006</v>
      </c>
      <c r="I22" s="9">
        <v>68.7</v>
      </c>
      <c r="J22" s="11">
        <v>77.8</v>
      </c>
      <c r="K22" s="11">
        <v>60.1</v>
      </c>
      <c r="L22" s="9">
        <v>67</v>
      </c>
      <c r="M22" s="11">
        <v>102.5</v>
      </c>
      <c r="N22" s="9">
        <v>99.2</v>
      </c>
      <c r="O22" s="9">
        <v>92.6</v>
      </c>
      <c r="P22" s="9">
        <v>109.2</v>
      </c>
      <c r="Q22" s="8">
        <v>136</v>
      </c>
      <c r="R22" s="8">
        <v>175.1</v>
      </c>
      <c r="S22" s="8">
        <v>203.6</v>
      </c>
      <c r="T22" s="8">
        <v>231.2</v>
      </c>
      <c r="U22" s="14">
        <v>267.60000000000002</v>
      </c>
    </row>
    <row r="23" spans="1:21" x14ac:dyDescent="0.25">
      <c r="A23" s="1" t="s">
        <v>84</v>
      </c>
      <c r="B23" s="9">
        <v>73</v>
      </c>
      <c r="C23" s="9">
        <v>81</v>
      </c>
      <c r="D23" s="9">
        <v>83.8</v>
      </c>
      <c r="E23" s="9">
        <v>74</v>
      </c>
      <c r="F23" s="9">
        <v>74.8</v>
      </c>
      <c r="G23" s="10">
        <v>65.2</v>
      </c>
      <c r="H23" s="10">
        <v>75.5</v>
      </c>
      <c r="I23" s="9">
        <v>75.3</v>
      </c>
      <c r="J23" s="11">
        <v>78.5</v>
      </c>
      <c r="K23" s="11">
        <v>60.4</v>
      </c>
      <c r="L23" s="11">
        <v>71.2</v>
      </c>
      <c r="M23" s="11">
        <v>108.5</v>
      </c>
      <c r="N23" s="9">
        <v>100.6</v>
      </c>
      <c r="O23" s="9">
        <v>92.9</v>
      </c>
      <c r="P23" s="9">
        <v>112.5</v>
      </c>
      <c r="Q23" s="8">
        <v>141.9</v>
      </c>
      <c r="R23" s="8">
        <v>180.9</v>
      </c>
      <c r="S23" s="8">
        <v>215.1</v>
      </c>
      <c r="T23" s="8">
        <v>227.2</v>
      </c>
      <c r="U23" s="14">
        <v>275.5</v>
      </c>
    </row>
    <row r="24" spans="1:21" x14ac:dyDescent="0.25">
      <c r="A24" s="1" t="s">
        <v>85</v>
      </c>
      <c r="B24" s="9">
        <v>74.7</v>
      </c>
      <c r="C24" s="9">
        <v>84.4</v>
      </c>
      <c r="D24" s="9">
        <v>78.8</v>
      </c>
      <c r="E24" s="9">
        <v>78.099999999999994</v>
      </c>
      <c r="F24" s="9">
        <v>75.5</v>
      </c>
      <c r="G24" s="9">
        <v>66</v>
      </c>
      <c r="H24" s="10">
        <v>76.2</v>
      </c>
      <c r="I24" s="9">
        <v>77.599999999999994</v>
      </c>
      <c r="J24" s="11">
        <v>81.2</v>
      </c>
      <c r="K24" s="9">
        <v>63</v>
      </c>
      <c r="L24" s="11">
        <v>70.2</v>
      </c>
      <c r="M24" s="11">
        <v>104.1</v>
      </c>
      <c r="N24" s="9">
        <v>102.2</v>
      </c>
      <c r="O24" s="9">
        <v>94</v>
      </c>
      <c r="P24" s="9">
        <v>112.7</v>
      </c>
      <c r="Q24" s="8">
        <v>141.6</v>
      </c>
      <c r="R24" s="8">
        <v>183.2</v>
      </c>
      <c r="S24" s="8">
        <v>216.1</v>
      </c>
      <c r="T24" s="8">
        <v>231.3</v>
      </c>
      <c r="U24" s="14">
        <v>280.8</v>
      </c>
    </row>
    <row r="25" spans="1:21" x14ac:dyDescent="0.25">
      <c r="A25" s="1" t="s">
        <v>86</v>
      </c>
      <c r="B25" s="9">
        <v>74.5</v>
      </c>
      <c r="C25" s="9">
        <v>80.5</v>
      </c>
      <c r="D25" s="9">
        <v>77.2</v>
      </c>
      <c r="E25" s="9">
        <v>73.3</v>
      </c>
      <c r="F25" s="9">
        <v>75.400000000000006</v>
      </c>
      <c r="G25" s="10">
        <v>67.7</v>
      </c>
      <c r="H25" s="10">
        <v>74.5</v>
      </c>
      <c r="I25" s="9">
        <v>73.7</v>
      </c>
      <c r="J25" s="11">
        <v>78.599999999999994</v>
      </c>
      <c r="K25" s="11">
        <v>61.1</v>
      </c>
      <c r="L25" s="11">
        <v>69.3</v>
      </c>
      <c r="M25" s="11">
        <v>104.3</v>
      </c>
      <c r="N25" s="9">
        <v>99.9</v>
      </c>
      <c r="O25" s="9">
        <v>93.6</v>
      </c>
      <c r="P25" s="9">
        <v>110.9</v>
      </c>
      <c r="Q25" s="8">
        <v>138.6</v>
      </c>
      <c r="R25" s="8">
        <v>181.2</v>
      </c>
      <c r="S25" s="8">
        <v>210.7</v>
      </c>
      <c r="T25" s="8">
        <v>229</v>
      </c>
      <c r="U25" s="14">
        <v>275.39999999999998</v>
      </c>
    </row>
    <row r="26" spans="1:21" x14ac:dyDescent="0.25">
      <c r="A26" s="1" t="s">
        <v>87</v>
      </c>
      <c r="B26" s="9">
        <v>75.099999999999994</v>
      </c>
      <c r="C26" s="9">
        <v>81</v>
      </c>
      <c r="D26" s="9">
        <v>81.099999999999994</v>
      </c>
      <c r="E26" s="9">
        <v>76.8</v>
      </c>
      <c r="F26" s="9">
        <v>78.400000000000006</v>
      </c>
      <c r="G26" s="10">
        <v>71.900000000000006</v>
      </c>
      <c r="H26" s="10">
        <v>76.2</v>
      </c>
      <c r="I26" s="9">
        <v>75.599999999999994</v>
      </c>
      <c r="J26" s="11">
        <v>79.900000000000006</v>
      </c>
      <c r="K26" s="11">
        <v>61.7</v>
      </c>
      <c r="L26" s="11">
        <v>68.900000000000006</v>
      </c>
      <c r="M26" s="11">
        <v>105.5</v>
      </c>
      <c r="N26" s="9">
        <v>99.2</v>
      </c>
      <c r="O26" s="9">
        <v>94</v>
      </c>
      <c r="P26" s="9">
        <v>113.3</v>
      </c>
      <c r="Q26" s="8">
        <v>141.9</v>
      </c>
      <c r="R26" s="8">
        <v>183</v>
      </c>
      <c r="S26" s="8">
        <v>211.6</v>
      </c>
      <c r="T26" s="8">
        <v>234</v>
      </c>
      <c r="U26" s="14">
        <v>282.5</v>
      </c>
    </row>
    <row r="27" spans="1:21" x14ac:dyDescent="0.25">
      <c r="A27" s="1" t="s">
        <v>88</v>
      </c>
      <c r="B27" s="9">
        <v>69.400000000000006</v>
      </c>
      <c r="C27" s="9">
        <v>76.3</v>
      </c>
      <c r="D27" s="9">
        <v>76.2</v>
      </c>
      <c r="E27" s="9">
        <v>69.900000000000006</v>
      </c>
      <c r="F27" s="9">
        <v>71.2</v>
      </c>
      <c r="G27" s="10">
        <v>63.9</v>
      </c>
      <c r="H27" s="10">
        <v>69.400000000000006</v>
      </c>
      <c r="I27" s="9">
        <v>69.7</v>
      </c>
      <c r="J27" s="11">
        <v>74.7</v>
      </c>
      <c r="K27" s="11">
        <v>57.1</v>
      </c>
      <c r="L27" s="11">
        <v>65.7</v>
      </c>
      <c r="M27" s="11">
        <v>100.2</v>
      </c>
      <c r="N27" s="9">
        <v>94.3</v>
      </c>
      <c r="O27" s="9">
        <v>89.9</v>
      </c>
      <c r="P27" s="9">
        <v>106.7</v>
      </c>
      <c r="Q27" s="8">
        <v>136.5</v>
      </c>
      <c r="R27" s="8">
        <v>179.8</v>
      </c>
      <c r="S27" s="8">
        <v>205</v>
      </c>
      <c r="T27" s="8">
        <v>226.4</v>
      </c>
      <c r="U27" s="14">
        <v>274.3</v>
      </c>
    </row>
    <row r="28" spans="1:21" x14ac:dyDescent="0.25">
      <c r="A28" s="1" t="s">
        <v>89</v>
      </c>
      <c r="B28" s="9">
        <v>69.099999999999994</v>
      </c>
      <c r="C28" s="9">
        <v>78.900000000000006</v>
      </c>
      <c r="D28" s="9">
        <v>75.599999999999994</v>
      </c>
      <c r="E28" s="9">
        <v>69.3</v>
      </c>
      <c r="F28" s="9">
        <v>69.8</v>
      </c>
      <c r="G28" s="10">
        <v>63.2</v>
      </c>
      <c r="H28" s="10">
        <v>67.400000000000006</v>
      </c>
      <c r="I28" s="9">
        <v>69</v>
      </c>
      <c r="J28" s="11">
        <v>72.599999999999994</v>
      </c>
      <c r="K28" s="11">
        <v>55.5</v>
      </c>
      <c r="L28" s="11">
        <v>64.7</v>
      </c>
      <c r="M28" s="11">
        <v>99.8</v>
      </c>
      <c r="N28" s="9">
        <v>94.9</v>
      </c>
      <c r="O28" s="9">
        <v>91.7</v>
      </c>
      <c r="P28" s="9">
        <v>108.6</v>
      </c>
      <c r="Q28" s="8">
        <v>138.9</v>
      </c>
      <c r="R28" s="8">
        <v>181.1</v>
      </c>
      <c r="S28" s="8">
        <v>206.6</v>
      </c>
      <c r="T28" s="8">
        <v>226.6</v>
      </c>
      <c r="U28" s="14">
        <v>276.2</v>
      </c>
    </row>
    <row r="29" spans="1:21" x14ac:dyDescent="0.25">
      <c r="A29" s="1" t="s">
        <v>90</v>
      </c>
      <c r="B29" s="9">
        <v>68.5</v>
      </c>
      <c r="C29" s="9">
        <v>74.599999999999994</v>
      </c>
      <c r="D29" s="9">
        <v>75.900000000000006</v>
      </c>
      <c r="E29" s="9">
        <v>70.8</v>
      </c>
      <c r="F29" s="9">
        <v>72.599999999999994</v>
      </c>
      <c r="G29" s="10">
        <v>63.5</v>
      </c>
      <c r="H29" s="10">
        <v>68.7</v>
      </c>
      <c r="I29" s="9">
        <v>68.900000000000006</v>
      </c>
      <c r="J29" s="11">
        <v>71.8</v>
      </c>
      <c r="K29" s="11">
        <v>55.3</v>
      </c>
      <c r="L29" s="11">
        <v>66.5</v>
      </c>
      <c r="M29" s="11">
        <v>99.1</v>
      </c>
      <c r="N29" s="9">
        <v>94.8</v>
      </c>
      <c r="O29" s="9">
        <v>90.1</v>
      </c>
      <c r="P29" s="9">
        <v>108</v>
      </c>
      <c r="Q29" s="8">
        <v>138.9</v>
      </c>
      <c r="R29" s="8">
        <v>183.4</v>
      </c>
      <c r="S29" s="8">
        <v>208.9</v>
      </c>
      <c r="T29" s="8">
        <v>228.5</v>
      </c>
      <c r="U29" s="14">
        <v>279.3</v>
      </c>
    </row>
    <row r="30" spans="1:21" x14ac:dyDescent="0.25">
      <c r="A30" s="1" t="s">
        <v>91</v>
      </c>
      <c r="B30" s="9">
        <v>73.400000000000006</v>
      </c>
      <c r="C30" s="9">
        <v>80.900000000000006</v>
      </c>
      <c r="D30" s="9">
        <v>78.5</v>
      </c>
      <c r="E30" s="9">
        <v>72.2</v>
      </c>
      <c r="F30" s="9">
        <v>77.2</v>
      </c>
      <c r="G30" s="10">
        <v>68.2</v>
      </c>
      <c r="H30" s="10">
        <v>73.2</v>
      </c>
      <c r="I30" s="9">
        <v>72.8</v>
      </c>
      <c r="J30" s="11">
        <v>78.2</v>
      </c>
      <c r="K30" s="11">
        <v>60.5</v>
      </c>
      <c r="L30" s="11">
        <v>69.2</v>
      </c>
      <c r="M30" s="11">
        <v>100.8</v>
      </c>
      <c r="N30" s="9">
        <v>97.2</v>
      </c>
      <c r="O30" s="9">
        <v>93.3</v>
      </c>
      <c r="P30" s="9">
        <v>110.7</v>
      </c>
      <c r="Q30" s="8">
        <v>140</v>
      </c>
      <c r="R30" s="8">
        <v>182</v>
      </c>
      <c r="S30" s="8">
        <v>210.9</v>
      </c>
      <c r="T30" s="8">
        <v>229.5</v>
      </c>
      <c r="U30" s="14">
        <v>276.2</v>
      </c>
    </row>
    <row r="31" spans="1:21" x14ac:dyDescent="0.25">
      <c r="A31" s="1" t="s">
        <v>92</v>
      </c>
      <c r="B31" s="9">
        <v>70.599999999999994</v>
      </c>
      <c r="C31" s="9">
        <v>76.599999999999994</v>
      </c>
      <c r="D31" s="9">
        <v>78.599999999999994</v>
      </c>
      <c r="E31" s="9">
        <v>72.3</v>
      </c>
      <c r="F31" s="9">
        <v>72.900000000000006</v>
      </c>
      <c r="G31" s="10">
        <v>68.900000000000006</v>
      </c>
      <c r="H31" s="10">
        <v>73.099999999999994</v>
      </c>
      <c r="I31" s="9">
        <v>75.3</v>
      </c>
      <c r="J31" s="11">
        <v>79.599999999999994</v>
      </c>
      <c r="K31" s="11">
        <v>61.8</v>
      </c>
      <c r="L31" s="11">
        <v>73.5</v>
      </c>
      <c r="M31" s="11">
        <v>106.4</v>
      </c>
      <c r="N31" s="9">
        <v>101</v>
      </c>
      <c r="O31" s="9">
        <v>95.2</v>
      </c>
      <c r="P31" s="9">
        <v>111.7</v>
      </c>
      <c r="Q31" s="8">
        <v>140.4</v>
      </c>
      <c r="R31" s="8">
        <v>181.7</v>
      </c>
      <c r="S31" s="8">
        <v>209</v>
      </c>
      <c r="T31" s="8">
        <v>232.8</v>
      </c>
      <c r="U31" s="14">
        <v>276.2</v>
      </c>
    </row>
    <row r="32" spans="1:21" x14ac:dyDescent="0.25">
      <c r="A32" s="1" t="s">
        <v>93</v>
      </c>
      <c r="B32" s="9">
        <v>68.3</v>
      </c>
      <c r="C32" s="9">
        <v>73.8</v>
      </c>
      <c r="D32" s="9">
        <v>74.400000000000006</v>
      </c>
      <c r="E32" s="9">
        <v>70.3</v>
      </c>
      <c r="F32" s="9">
        <v>72.5</v>
      </c>
      <c r="G32" s="10">
        <v>64.3</v>
      </c>
      <c r="H32" s="10">
        <v>69.7</v>
      </c>
      <c r="I32" s="9">
        <v>71.400000000000006</v>
      </c>
      <c r="J32" s="11">
        <v>75.099999999999994</v>
      </c>
      <c r="K32" s="11">
        <v>57.2</v>
      </c>
      <c r="L32" s="9">
        <v>66</v>
      </c>
      <c r="M32" s="9">
        <v>99</v>
      </c>
      <c r="N32" s="9">
        <v>95.5</v>
      </c>
      <c r="O32" s="9">
        <v>89.8</v>
      </c>
      <c r="P32" s="9">
        <v>107</v>
      </c>
      <c r="Q32" s="8">
        <v>136.4</v>
      </c>
      <c r="R32" s="8">
        <v>179</v>
      </c>
      <c r="S32" s="8">
        <v>205.7</v>
      </c>
      <c r="T32" s="8">
        <v>226.9</v>
      </c>
      <c r="U32" s="14">
        <v>273.60000000000002</v>
      </c>
    </row>
    <row r="33" spans="1:21" x14ac:dyDescent="0.25">
      <c r="A33" s="1" t="s">
        <v>94</v>
      </c>
      <c r="B33" s="9">
        <v>69.599999999999994</v>
      </c>
      <c r="C33" s="9">
        <v>83.1</v>
      </c>
      <c r="D33" s="9">
        <v>78.400000000000006</v>
      </c>
      <c r="E33" s="9">
        <v>73.599999999999994</v>
      </c>
      <c r="F33" s="9">
        <v>74.5</v>
      </c>
      <c r="G33" s="10">
        <v>68.3</v>
      </c>
      <c r="H33" s="10">
        <v>73.3</v>
      </c>
      <c r="I33" s="9">
        <v>74</v>
      </c>
      <c r="J33" s="11">
        <v>78.8</v>
      </c>
      <c r="K33" s="11">
        <v>61.8</v>
      </c>
      <c r="L33" s="11">
        <v>68.400000000000006</v>
      </c>
      <c r="M33" s="11">
        <v>101.7</v>
      </c>
      <c r="N33" s="9">
        <v>96.8</v>
      </c>
      <c r="O33" s="9">
        <v>91.1</v>
      </c>
      <c r="P33" s="9">
        <v>107</v>
      </c>
      <c r="Q33" s="8">
        <v>137.5</v>
      </c>
      <c r="R33" s="8">
        <v>180.4</v>
      </c>
      <c r="S33" s="8">
        <v>207.1</v>
      </c>
      <c r="T33" s="8">
        <v>227</v>
      </c>
      <c r="U33" s="14">
        <v>276.7</v>
      </c>
    </row>
    <row r="34" spans="1:21" x14ac:dyDescent="0.25">
      <c r="A34" s="1" t="s">
        <v>95</v>
      </c>
      <c r="B34" s="9">
        <v>74.7</v>
      </c>
      <c r="C34" s="9">
        <v>78.099999999999994</v>
      </c>
      <c r="D34" s="9">
        <v>78.900000000000006</v>
      </c>
      <c r="E34" s="9">
        <v>70.599999999999994</v>
      </c>
      <c r="F34" s="9">
        <v>74.5</v>
      </c>
      <c r="G34" s="10">
        <v>66.099999999999994</v>
      </c>
      <c r="H34" s="10">
        <v>74.099999999999994</v>
      </c>
      <c r="I34" s="9">
        <v>75.099999999999994</v>
      </c>
      <c r="J34" s="11">
        <v>79.3</v>
      </c>
      <c r="K34" s="11">
        <v>62.3</v>
      </c>
      <c r="L34" s="11">
        <v>69.5</v>
      </c>
      <c r="M34" s="11">
        <v>104.8</v>
      </c>
      <c r="N34" s="9">
        <v>99.1</v>
      </c>
      <c r="O34" s="9">
        <v>93.9</v>
      </c>
      <c r="P34" s="9">
        <v>110.9</v>
      </c>
      <c r="Q34" s="8">
        <v>139.4</v>
      </c>
      <c r="R34" s="8">
        <v>181.5</v>
      </c>
      <c r="S34" s="8">
        <v>209.7</v>
      </c>
      <c r="T34" s="8">
        <v>227.7</v>
      </c>
      <c r="U34" s="14">
        <v>272.60000000000002</v>
      </c>
    </row>
    <row r="35" spans="1:21" x14ac:dyDescent="0.25">
      <c r="A35" s="1" t="s">
        <v>96</v>
      </c>
      <c r="B35" s="9">
        <v>65.400000000000006</v>
      </c>
      <c r="C35" s="9">
        <v>75.8</v>
      </c>
      <c r="D35" s="9">
        <v>77.5</v>
      </c>
      <c r="E35" s="9">
        <v>70.099999999999994</v>
      </c>
      <c r="F35" s="9">
        <v>72.8</v>
      </c>
      <c r="G35" s="10">
        <v>63.6</v>
      </c>
      <c r="H35" s="10">
        <v>69.099999999999994</v>
      </c>
      <c r="I35" s="9">
        <v>68.7</v>
      </c>
      <c r="J35" s="11">
        <v>75.400000000000006</v>
      </c>
      <c r="K35" s="11">
        <v>58.2</v>
      </c>
      <c r="L35" s="11">
        <v>66.400000000000006</v>
      </c>
      <c r="M35" s="11">
        <v>100.3</v>
      </c>
      <c r="N35" s="9">
        <v>95.8</v>
      </c>
      <c r="O35" s="9">
        <v>90.2</v>
      </c>
      <c r="P35" s="9">
        <v>106.7</v>
      </c>
      <c r="Q35" s="8">
        <v>134.80000000000001</v>
      </c>
      <c r="R35" s="8">
        <v>175.7</v>
      </c>
      <c r="S35" s="8">
        <v>203.1</v>
      </c>
      <c r="T35" s="8">
        <v>230.2</v>
      </c>
      <c r="U35" s="14">
        <v>270.3</v>
      </c>
    </row>
    <row r="36" spans="1:21" x14ac:dyDescent="0.25">
      <c r="A36" s="1" t="s">
        <v>97</v>
      </c>
      <c r="B36" s="9">
        <v>70</v>
      </c>
      <c r="C36" s="9">
        <v>76.2</v>
      </c>
      <c r="D36" s="9">
        <v>77.2</v>
      </c>
      <c r="E36" s="9">
        <v>73.599999999999994</v>
      </c>
      <c r="F36" s="9">
        <v>75.3</v>
      </c>
      <c r="G36" s="10">
        <v>66.599999999999994</v>
      </c>
      <c r="H36" s="10">
        <v>71.900000000000006</v>
      </c>
      <c r="I36" s="9">
        <v>70.900000000000006</v>
      </c>
      <c r="J36" s="11">
        <v>76.400000000000006</v>
      </c>
      <c r="K36" s="11">
        <v>59.9</v>
      </c>
      <c r="L36" s="11">
        <v>68.2</v>
      </c>
      <c r="M36" s="11">
        <v>100.7</v>
      </c>
      <c r="N36" s="9">
        <v>94.4</v>
      </c>
      <c r="O36" s="9">
        <v>90</v>
      </c>
      <c r="P36" s="9">
        <v>105.6</v>
      </c>
      <c r="Q36" s="8">
        <v>135.4</v>
      </c>
      <c r="R36" s="8">
        <v>179.8</v>
      </c>
      <c r="S36" s="8">
        <v>208.7</v>
      </c>
      <c r="T36" s="8">
        <v>228.5</v>
      </c>
      <c r="U36" s="14">
        <v>277</v>
      </c>
    </row>
    <row r="37" spans="1:21" x14ac:dyDescent="0.25">
      <c r="A37" s="1" t="s">
        <v>98</v>
      </c>
      <c r="B37" s="9">
        <v>66.2</v>
      </c>
      <c r="C37" s="9">
        <v>72.7</v>
      </c>
      <c r="D37" s="9">
        <v>75.8</v>
      </c>
      <c r="E37" s="9">
        <v>69.5</v>
      </c>
      <c r="F37" s="9">
        <v>71.5</v>
      </c>
      <c r="G37" s="10">
        <v>59.9</v>
      </c>
      <c r="H37" s="9">
        <v>66</v>
      </c>
      <c r="I37" s="9">
        <v>67</v>
      </c>
      <c r="J37" s="11">
        <v>74.3</v>
      </c>
      <c r="K37" s="11">
        <v>57.8</v>
      </c>
      <c r="L37" s="11">
        <v>65.900000000000006</v>
      </c>
      <c r="M37" s="11">
        <v>100.6</v>
      </c>
      <c r="N37" s="9">
        <v>95.3</v>
      </c>
      <c r="O37" s="9">
        <v>88.5</v>
      </c>
      <c r="P37" s="9">
        <v>105.6</v>
      </c>
      <c r="Q37" s="8">
        <v>132.9</v>
      </c>
      <c r="R37" s="8">
        <v>175.6</v>
      </c>
      <c r="S37" s="8">
        <v>204.3</v>
      </c>
      <c r="T37" s="8">
        <v>234.6</v>
      </c>
      <c r="U37" s="14">
        <v>268.5</v>
      </c>
    </row>
    <row r="38" spans="1:21" x14ac:dyDescent="0.25">
      <c r="A38" s="1" t="s">
        <v>99</v>
      </c>
      <c r="B38" s="9">
        <v>67.900000000000006</v>
      </c>
      <c r="C38" s="9">
        <v>76.400000000000006</v>
      </c>
      <c r="D38" s="9">
        <v>76.099999999999994</v>
      </c>
      <c r="E38" s="9">
        <v>72.400000000000006</v>
      </c>
      <c r="F38" s="9">
        <v>74.8</v>
      </c>
      <c r="G38" s="9">
        <v>65</v>
      </c>
      <c r="H38" s="10">
        <v>74.5</v>
      </c>
      <c r="I38" s="9">
        <v>73.099999999999994</v>
      </c>
      <c r="J38" s="11">
        <v>75.400000000000006</v>
      </c>
      <c r="K38" s="11">
        <v>57.6</v>
      </c>
      <c r="L38" s="9">
        <v>67</v>
      </c>
      <c r="M38" s="11">
        <v>99.1</v>
      </c>
      <c r="N38" s="9">
        <v>94.5</v>
      </c>
      <c r="O38" s="9">
        <v>89.3</v>
      </c>
      <c r="P38" s="9">
        <v>105.6</v>
      </c>
      <c r="Q38" s="8">
        <v>133.9</v>
      </c>
      <c r="R38" s="8">
        <v>176.8</v>
      </c>
      <c r="S38" s="8">
        <v>207.8</v>
      </c>
      <c r="T38" s="8">
        <v>228.1</v>
      </c>
      <c r="U38" s="14">
        <v>271.3</v>
      </c>
    </row>
    <row r="39" spans="1:21" x14ac:dyDescent="0.25">
      <c r="A39" s="1" t="s">
        <v>100</v>
      </c>
      <c r="B39" s="9">
        <v>69.2</v>
      </c>
      <c r="C39" s="9">
        <v>79.5</v>
      </c>
      <c r="D39" s="9">
        <v>81.3</v>
      </c>
      <c r="E39" s="9">
        <v>73.099999999999994</v>
      </c>
      <c r="F39" s="9">
        <v>77.099999999999994</v>
      </c>
      <c r="G39" s="10">
        <v>71.5</v>
      </c>
      <c r="H39" s="10">
        <v>74.8</v>
      </c>
      <c r="I39" s="9">
        <v>76.3</v>
      </c>
      <c r="J39" s="11">
        <v>89.7</v>
      </c>
      <c r="K39" s="11">
        <v>72.599999999999994</v>
      </c>
      <c r="L39" s="11">
        <v>83.5</v>
      </c>
      <c r="M39" s="11">
        <v>113.3</v>
      </c>
      <c r="N39" s="9">
        <v>105.1</v>
      </c>
      <c r="O39" s="9">
        <v>95</v>
      </c>
      <c r="P39" s="9">
        <v>114.9</v>
      </c>
      <c r="Q39" s="8">
        <v>141.80000000000001</v>
      </c>
      <c r="R39" s="8">
        <v>182</v>
      </c>
      <c r="S39" s="8">
        <v>209.5</v>
      </c>
      <c r="T39" s="8">
        <v>236.9</v>
      </c>
      <c r="U39" s="14">
        <v>280.39999999999998</v>
      </c>
    </row>
    <row r="40" spans="1:21" x14ac:dyDescent="0.25">
      <c r="A40" s="1" t="s">
        <v>101</v>
      </c>
      <c r="B40" s="9">
        <v>68.5</v>
      </c>
      <c r="C40" s="9">
        <v>71.5</v>
      </c>
      <c r="D40" s="9">
        <v>67</v>
      </c>
      <c r="E40" s="9">
        <v>71.7</v>
      </c>
      <c r="F40" s="9">
        <v>72.599999999999994</v>
      </c>
      <c r="G40" s="10">
        <v>64.5</v>
      </c>
      <c r="H40" s="9">
        <v>72</v>
      </c>
      <c r="I40" s="9">
        <v>72.400000000000006</v>
      </c>
      <c r="J40" s="11">
        <v>88.4</v>
      </c>
      <c r="K40" s="11">
        <v>71.099999999999994</v>
      </c>
      <c r="L40" s="11">
        <v>82.2</v>
      </c>
      <c r="M40" s="11">
        <v>112.6</v>
      </c>
      <c r="N40" s="9">
        <v>104.5</v>
      </c>
      <c r="O40" s="9">
        <v>95.1</v>
      </c>
      <c r="P40" s="9">
        <v>119.2</v>
      </c>
      <c r="Q40" s="8">
        <v>145</v>
      </c>
      <c r="R40" s="8">
        <v>186.5</v>
      </c>
      <c r="S40" s="8">
        <v>214.8</v>
      </c>
      <c r="T40" s="8">
        <v>238.2</v>
      </c>
      <c r="U40" s="14">
        <v>281.89999999999998</v>
      </c>
    </row>
    <row r="41" spans="1:21" x14ac:dyDescent="0.25">
      <c r="A41" s="1" t="s">
        <v>102</v>
      </c>
      <c r="B41" s="9">
        <v>70.599999999999994</v>
      </c>
      <c r="C41" s="9">
        <v>78.900000000000006</v>
      </c>
      <c r="D41" s="9">
        <v>79.400000000000006</v>
      </c>
      <c r="E41" s="9">
        <v>77.7</v>
      </c>
      <c r="F41" s="9">
        <v>80.2</v>
      </c>
      <c r="G41" s="10">
        <v>72.8</v>
      </c>
      <c r="H41" s="10">
        <v>79.7</v>
      </c>
      <c r="I41" s="9">
        <v>79.5</v>
      </c>
      <c r="J41" s="11">
        <v>90.7</v>
      </c>
      <c r="K41" s="11">
        <v>73.5</v>
      </c>
      <c r="L41" s="11">
        <v>83.2</v>
      </c>
      <c r="M41" s="11">
        <v>112.1</v>
      </c>
      <c r="N41" s="9">
        <v>110</v>
      </c>
      <c r="O41" s="9">
        <v>101.9</v>
      </c>
      <c r="P41" s="9">
        <v>117.9</v>
      </c>
      <c r="Q41" s="8">
        <v>144.5</v>
      </c>
      <c r="R41" s="8">
        <v>189.3</v>
      </c>
      <c r="S41" s="8">
        <v>218</v>
      </c>
      <c r="T41" s="8">
        <v>243.5</v>
      </c>
      <c r="U41" s="14">
        <v>283.89999999999998</v>
      </c>
    </row>
    <row r="42" spans="1:21" x14ac:dyDescent="0.25">
      <c r="A42" s="1" t="s">
        <v>103</v>
      </c>
      <c r="B42" s="9">
        <v>69.5</v>
      </c>
      <c r="C42" s="9">
        <v>69.7</v>
      </c>
      <c r="D42" s="9">
        <v>73.400000000000006</v>
      </c>
      <c r="E42" s="9">
        <v>74.7</v>
      </c>
      <c r="F42" s="9">
        <v>80.400000000000006</v>
      </c>
      <c r="G42" s="10">
        <v>75.400000000000006</v>
      </c>
      <c r="H42" s="10">
        <v>80.8</v>
      </c>
      <c r="I42" s="9">
        <v>79.5</v>
      </c>
      <c r="J42" s="11">
        <v>86.5</v>
      </c>
      <c r="K42" s="11">
        <v>68.7</v>
      </c>
      <c r="L42" s="11">
        <v>76.3</v>
      </c>
      <c r="M42" s="11">
        <v>108.3</v>
      </c>
      <c r="N42" s="9">
        <v>113.5</v>
      </c>
      <c r="O42" s="9">
        <v>100.9</v>
      </c>
      <c r="P42" s="9">
        <v>117</v>
      </c>
      <c r="Q42" s="8">
        <v>143.9</v>
      </c>
      <c r="R42" s="8">
        <v>185.9</v>
      </c>
      <c r="S42" s="8">
        <v>215</v>
      </c>
      <c r="T42" s="8">
        <v>240.5</v>
      </c>
      <c r="U42" s="14">
        <v>276.60000000000002</v>
      </c>
    </row>
    <row r="43" spans="1:21" x14ac:dyDescent="0.25">
      <c r="A43" s="1" t="s">
        <v>104</v>
      </c>
      <c r="B43" s="9">
        <v>73.400000000000006</v>
      </c>
      <c r="C43" s="9">
        <v>78.599999999999994</v>
      </c>
      <c r="D43" s="9">
        <v>77.8</v>
      </c>
      <c r="E43" s="9">
        <v>73.7</v>
      </c>
      <c r="F43" s="9">
        <v>85.9</v>
      </c>
      <c r="G43" s="10">
        <v>69.5</v>
      </c>
      <c r="H43" s="10">
        <v>75.599999999999994</v>
      </c>
      <c r="I43" s="9">
        <v>78.2</v>
      </c>
      <c r="J43" s="11">
        <v>85.6</v>
      </c>
      <c r="K43" s="11">
        <v>67.5</v>
      </c>
      <c r="L43" s="11">
        <v>79.599999999999994</v>
      </c>
      <c r="M43" s="11">
        <v>109.9</v>
      </c>
      <c r="N43" s="9">
        <v>105.3</v>
      </c>
      <c r="O43" s="9">
        <v>98.2</v>
      </c>
      <c r="P43" s="9">
        <v>116.9</v>
      </c>
      <c r="Q43" s="8">
        <v>142.9</v>
      </c>
      <c r="R43" s="8">
        <v>189.9</v>
      </c>
      <c r="S43" s="8">
        <v>220.7</v>
      </c>
      <c r="T43" s="8">
        <v>245.6</v>
      </c>
      <c r="U43" s="14">
        <v>281.89999999999998</v>
      </c>
    </row>
    <row r="44" spans="1:21" x14ac:dyDescent="0.25">
      <c r="A44" s="1" t="s">
        <v>105</v>
      </c>
      <c r="B44" s="9">
        <v>70.400000000000006</v>
      </c>
      <c r="C44" s="9">
        <v>80.400000000000006</v>
      </c>
      <c r="D44" s="9">
        <v>78.599999999999994</v>
      </c>
      <c r="E44" s="9">
        <v>73.3</v>
      </c>
      <c r="F44" s="9">
        <v>84.6</v>
      </c>
      <c r="G44" s="10">
        <v>80.900000000000006</v>
      </c>
      <c r="H44" s="10">
        <v>79.8</v>
      </c>
      <c r="I44" s="9">
        <v>82.7</v>
      </c>
      <c r="J44" s="11">
        <v>93.6</v>
      </c>
      <c r="K44" s="11">
        <v>70.7</v>
      </c>
      <c r="L44" s="11">
        <v>81.3</v>
      </c>
      <c r="M44" s="11">
        <v>111.4</v>
      </c>
      <c r="N44" s="9">
        <v>107.8</v>
      </c>
      <c r="O44" s="9">
        <v>96.4</v>
      </c>
      <c r="P44" s="9">
        <v>131.19999999999999</v>
      </c>
      <c r="Q44" s="8">
        <v>156.19999999999999</v>
      </c>
      <c r="R44" s="8">
        <v>194.5</v>
      </c>
      <c r="S44" s="8">
        <v>218.2</v>
      </c>
      <c r="T44" s="8">
        <v>234.5</v>
      </c>
      <c r="U44" s="14">
        <v>278</v>
      </c>
    </row>
    <row r="45" spans="1:21" x14ac:dyDescent="0.25">
      <c r="A45" s="1" t="s">
        <v>106</v>
      </c>
      <c r="B45" s="9">
        <v>66.7</v>
      </c>
      <c r="C45" s="9">
        <v>71.099999999999994</v>
      </c>
      <c r="D45" s="9">
        <v>66.2</v>
      </c>
      <c r="E45" s="9">
        <v>69.2</v>
      </c>
      <c r="F45" s="9">
        <v>74.8</v>
      </c>
      <c r="G45" s="10">
        <v>63.1</v>
      </c>
      <c r="H45" s="10">
        <v>73.099999999999994</v>
      </c>
      <c r="I45" s="9">
        <v>74.5</v>
      </c>
      <c r="J45" s="11">
        <v>86.4</v>
      </c>
      <c r="K45" s="11">
        <v>66.099999999999994</v>
      </c>
      <c r="L45" s="11">
        <v>79.3</v>
      </c>
      <c r="M45" s="9">
        <v>106</v>
      </c>
      <c r="N45" s="9">
        <v>102.3</v>
      </c>
      <c r="O45" s="9">
        <v>94</v>
      </c>
      <c r="P45" s="9">
        <v>117</v>
      </c>
      <c r="Q45" s="8">
        <v>142.69999999999999</v>
      </c>
      <c r="R45" s="8">
        <v>180.7</v>
      </c>
      <c r="S45" s="8">
        <v>209.5</v>
      </c>
      <c r="T45" s="8">
        <v>232.6</v>
      </c>
      <c r="U45" s="14">
        <v>277.8</v>
      </c>
    </row>
    <row r="46" spans="1:21" x14ac:dyDescent="0.25">
      <c r="A46" s="1" t="s">
        <v>107</v>
      </c>
      <c r="B46" s="9">
        <v>67.5</v>
      </c>
      <c r="C46" s="9">
        <v>74.599999999999994</v>
      </c>
      <c r="D46" s="9">
        <v>79.2</v>
      </c>
      <c r="E46" s="9">
        <v>77.8</v>
      </c>
      <c r="F46" s="9">
        <v>83.1</v>
      </c>
      <c r="G46" s="10">
        <v>80.2</v>
      </c>
      <c r="H46" s="10">
        <v>82.9</v>
      </c>
      <c r="I46" s="9">
        <v>90.3</v>
      </c>
      <c r="J46" s="11">
        <v>90.3</v>
      </c>
      <c r="K46" s="11">
        <v>73.3</v>
      </c>
      <c r="L46" s="11">
        <v>93.3</v>
      </c>
      <c r="M46" s="11">
        <v>121.7</v>
      </c>
      <c r="N46" s="9">
        <v>115.9</v>
      </c>
      <c r="O46" s="9">
        <v>102.2</v>
      </c>
      <c r="P46" s="9">
        <v>131.1</v>
      </c>
      <c r="Q46" s="8">
        <v>163.6</v>
      </c>
      <c r="R46" s="8">
        <v>195.1</v>
      </c>
      <c r="S46" s="8">
        <v>223.2</v>
      </c>
      <c r="T46" s="8">
        <v>242.1</v>
      </c>
      <c r="U46" s="14">
        <v>282.89999999999998</v>
      </c>
    </row>
    <row r="47" spans="1:21" x14ac:dyDescent="0.25">
      <c r="A47" s="1" t="s">
        <v>108</v>
      </c>
      <c r="B47" s="9">
        <v>66.7</v>
      </c>
      <c r="C47" s="9">
        <v>73.599999999999994</v>
      </c>
      <c r="D47" s="9">
        <v>72.400000000000006</v>
      </c>
      <c r="E47" s="9">
        <v>69.8</v>
      </c>
      <c r="F47" s="9">
        <v>69.599999999999994</v>
      </c>
      <c r="G47" s="10">
        <v>70.8</v>
      </c>
      <c r="H47" s="10">
        <v>78.3</v>
      </c>
      <c r="I47" s="9">
        <v>83.1</v>
      </c>
      <c r="J47" s="11">
        <v>86.9</v>
      </c>
      <c r="K47" s="11">
        <v>67.2</v>
      </c>
      <c r="L47" s="11">
        <v>85.6</v>
      </c>
      <c r="M47" s="11">
        <v>115.3</v>
      </c>
      <c r="N47" s="9">
        <v>110.4</v>
      </c>
      <c r="O47" s="9">
        <v>96.1</v>
      </c>
      <c r="P47" s="9">
        <v>122</v>
      </c>
      <c r="Q47" s="8">
        <v>149.80000000000001</v>
      </c>
      <c r="R47" s="8">
        <v>189.5</v>
      </c>
      <c r="S47" s="8">
        <v>220.1</v>
      </c>
      <c r="T47" s="8">
        <v>241.8</v>
      </c>
      <c r="U47" s="14">
        <v>285.60000000000002</v>
      </c>
    </row>
    <row r="48" spans="1:21" x14ac:dyDescent="0.25">
      <c r="A48" s="1" t="s">
        <v>109</v>
      </c>
      <c r="B48" s="9">
        <v>71.5</v>
      </c>
      <c r="C48" s="9">
        <v>78.7</v>
      </c>
      <c r="D48" s="9">
        <v>75.8</v>
      </c>
      <c r="E48" s="9">
        <v>78.3</v>
      </c>
      <c r="F48" s="9">
        <v>79.900000000000006</v>
      </c>
      <c r="G48" s="9">
        <v>76</v>
      </c>
      <c r="H48" s="10">
        <v>77.400000000000006</v>
      </c>
      <c r="I48" s="9">
        <v>82.1</v>
      </c>
      <c r="J48" s="11">
        <v>90.8</v>
      </c>
      <c r="K48" s="11">
        <v>69.5</v>
      </c>
      <c r="L48" s="11">
        <v>89.7</v>
      </c>
      <c r="M48" s="11">
        <v>118.3</v>
      </c>
      <c r="N48" s="9">
        <v>112</v>
      </c>
      <c r="O48" s="9">
        <v>99.5</v>
      </c>
      <c r="P48" s="9">
        <v>126.4</v>
      </c>
      <c r="Q48" s="8">
        <v>151.9</v>
      </c>
      <c r="R48" s="8">
        <v>190.9</v>
      </c>
      <c r="S48" s="8">
        <v>222.4</v>
      </c>
      <c r="T48" s="8">
        <v>247.7</v>
      </c>
      <c r="U48" s="14">
        <v>292.39999999999998</v>
      </c>
    </row>
    <row r="49" spans="1:21" x14ac:dyDescent="0.25">
      <c r="A49" s="1" t="s">
        <v>110</v>
      </c>
      <c r="B49" s="9">
        <v>73.2</v>
      </c>
      <c r="C49" s="9">
        <v>77.900000000000006</v>
      </c>
      <c r="D49" s="9">
        <v>65.3</v>
      </c>
      <c r="E49" s="9">
        <v>73.7</v>
      </c>
      <c r="F49" s="9">
        <v>84.4</v>
      </c>
      <c r="G49" s="10">
        <v>70.099999999999994</v>
      </c>
      <c r="H49" s="10">
        <v>77.5</v>
      </c>
      <c r="I49" s="9">
        <v>76</v>
      </c>
      <c r="J49" s="11">
        <v>86.8</v>
      </c>
      <c r="K49" s="11">
        <v>69.400000000000006</v>
      </c>
      <c r="L49" s="11">
        <v>87.5</v>
      </c>
      <c r="M49" s="11">
        <v>115.5</v>
      </c>
      <c r="N49" s="9">
        <v>115.5</v>
      </c>
      <c r="O49" s="9">
        <v>102.1</v>
      </c>
      <c r="P49" s="9">
        <v>134.1</v>
      </c>
      <c r="Q49" s="8">
        <v>164.5</v>
      </c>
      <c r="R49" s="8">
        <v>197.6</v>
      </c>
      <c r="S49" s="8">
        <v>228.2</v>
      </c>
      <c r="T49" s="8">
        <v>248.7</v>
      </c>
      <c r="U49" s="14">
        <v>290.60000000000002</v>
      </c>
    </row>
    <row r="50" spans="1:21" x14ac:dyDescent="0.25">
      <c r="A50" s="1" t="s">
        <v>111</v>
      </c>
      <c r="B50" s="9">
        <v>94.3</v>
      </c>
      <c r="C50" s="9">
        <v>101</v>
      </c>
      <c r="D50" s="9">
        <v>108.7</v>
      </c>
      <c r="E50" s="9">
        <v>103.9</v>
      </c>
      <c r="F50" s="9">
        <v>107.7</v>
      </c>
      <c r="G50" s="10">
        <v>107.7</v>
      </c>
      <c r="H50" s="10">
        <v>112.4</v>
      </c>
      <c r="I50" s="9">
        <v>111.8</v>
      </c>
      <c r="J50" s="11">
        <v>116.2</v>
      </c>
      <c r="K50" s="11">
        <v>96.3</v>
      </c>
      <c r="L50" s="11">
        <v>97.8</v>
      </c>
      <c r="M50" s="11">
        <v>131.4</v>
      </c>
      <c r="N50" s="9">
        <v>138.30000000000001</v>
      </c>
      <c r="O50" s="9">
        <v>128.69999999999999</v>
      </c>
      <c r="P50" s="9">
        <v>148</v>
      </c>
      <c r="Q50" s="8">
        <v>170.4</v>
      </c>
      <c r="R50" s="8">
        <v>210.9</v>
      </c>
      <c r="S50" s="8">
        <v>239.9</v>
      </c>
      <c r="T50" s="8">
        <v>255.1</v>
      </c>
      <c r="U50" s="14">
        <v>339.1</v>
      </c>
    </row>
    <row r="51" spans="1:21" x14ac:dyDescent="0.25">
      <c r="A51" s="1" t="s">
        <v>112</v>
      </c>
      <c r="B51" s="9">
        <v>87.8</v>
      </c>
      <c r="C51" s="9">
        <v>96.9</v>
      </c>
      <c r="D51" s="9">
        <v>99.1</v>
      </c>
      <c r="E51" s="9">
        <v>104.2</v>
      </c>
      <c r="F51" s="9">
        <v>108.5</v>
      </c>
      <c r="G51" s="10">
        <v>110.1</v>
      </c>
      <c r="H51" s="9">
        <v>105</v>
      </c>
      <c r="I51" s="9">
        <v>104.9</v>
      </c>
      <c r="J51" s="11">
        <v>110.3</v>
      </c>
      <c r="K51" s="11">
        <v>106.7</v>
      </c>
      <c r="L51" s="11">
        <v>97.1</v>
      </c>
      <c r="M51" s="11">
        <v>128.9</v>
      </c>
      <c r="N51" s="9">
        <v>145.9</v>
      </c>
      <c r="O51" s="9">
        <v>119.5</v>
      </c>
      <c r="P51" s="9">
        <v>153.80000000000001</v>
      </c>
      <c r="Q51" s="8">
        <v>167.3</v>
      </c>
      <c r="R51" s="8">
        <v>211.6</v>
      </c>
      <c r="S51" s="8">
        <v>252.5</v>
      </c>
      <c r="T51" s="8">
        <v>258.7</v>
      </c>
      <c r="U51" s="14">
        <v>317.10000000000002</v>
      </c>
    </row>
  </sheetData>
  <pageMargins left="0.75" right="0.75" top="1" bottom="1" header="0.5" footer="0.5"/>
  <pageSetup scale="74"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5"/>
  <sheetViews>
    <sheetView showGridLines="0" workbookViewId="0"/>
  </sheetViews>
  <sheetFormatPr defaultColWidth="12.7109375" defaultRowHeight="15" x14ac:dyDescent="0.25"/>
  <cols>
    <col min="1" max="1" width="16.85546875" bestFit="1" customWidth="1"/>
    <col min="2" max="21" width="12.7109375" customWidth="1"/>
  </cols>
  <sheetData>
    <row r="1" spans="1:21" s="17" customFormat="1" ht="18.75" x14ac:dyDescent="0.3">
      <c r="A1" s="19" t="s">
        <v>261</v>
      </c>
      <c r="B1" s="22" t="s">
        <v>262</v>
      </c>
    </row>
    <row r="2" spans="1:21" s="17" customFormat="1" ht="11.25" x14ac:dyDescent="0.2">
      <c r="A2" s="20" t="s">
        <v>263</v>
      </c>
      <c r="B2" s="22" t="s">
        <v>264</v>
      </c>
    </row>
    <row r="3" spans="1:21" s="17" customFormat="1" ht="11.25" x14ac:dyDescent="0.2">
      <c r="A3" s="20" t="s">
        <v>265</v>
      </c>
      <c r="B3" s="22" t="s">
        <v>266</v>
      </c>
    </row>
    <row r="4" spans="1:21" s="17" customFormat="1" ht="11.25" x14ac:dyDescent="0.2">
      <c r="A4" s="20" t="s">
        <v>267</v>
      </c>
      <c r="B4" s="22" t="s">
        <v>351</v>
      </c>
    </row>
    <row r="5" spans="1:21" s="18" customFormat="1" ht="11.25" x14ac:dyDescent="0.2">
      <c r="A5" s="21" t="s">
        <v>268</v>
      </c>
      <c r="B5" s="23" t="s">
        <v>269</v>
      </c>
    </row>
    <row r="6" spans="1:21" ht="15" customHeight="1" x14ac:dyDescent="0.25"/>
    <row r="7" spans="1:21" ht="15" customHeight="1" x14ac:dyDescent="0.25">
      <c r="A7" s="26"/>
      <c r="B7" s="24" t="s">
        <v>270</v>
      </c>
      <c r="C7" s="24" t="s">
        <v>271</v>
      </c>
      <c r="D7" s="24" t="s">
        <v>272</v>
      </c>
      <c r="E7" s="24" t="s">
        <v>273</v>
      </c>
      <c r="F7" s="24" t="s">
        <v>274</v>
      </c>
      <c r="G7" s="24" t="s">
        <v>275</v>
      </c>
      <c r="H7" s="24" t="s">
        <v>276</v>
      </c>
      <c r="I7" s="24" t="s">
        <v>277</v>
      </c>
      <c r="J7" s="24" t="s">
        <v>278</v>
      </c>
      <c r="K7" s="24" t="s">
        <v>279</v>
      </c>
      <c r="L7" s="24" t="s">
        <v>280</v>
      </c>
      <c r="M7" s="24" t="s">
        <v>281</v>
      </c>
      <c r="N7" s="24" t="s">
        <v>282</v>
      </c>
      <c r="O7" s="24" t="s">
        <v>283</v>
      </c>
      <c r="P7" s="24" t="s">
        <v>284</v>
      </c>
      <c r="Q7" s="24" t="s">
        <v>285</v>
      </c>
      <c r="R7" s="24" t="s">
        <v>286</v>
      </c>
      <c r="S7" s="24" t="s">
        <v>287</v>
      </c>
      <c r="T7" s="24" t="s">
        <v>288</v>
      </c>
      <c r="U7" s="24" t="s">
        <v>289</v>
      </c>
    </row>
    <row r="8" spans="1:21" ht="15" customHeight="1" thickBot="1" x14ac:dyDescent="0.3">
      <c r="A8" s="27" t="s">
        <v>264</v>
      </c>
      <c r="B8" s="25" t="s">
        <v>349</v>
      </c>
      <c r="C8" s="25" t="s">
        <v>349</v>
      </c>
      <c r="D8" s="25" t="s">
        <v>349</v>
      </c>
      <c r="E8" s="25" t="s">
        <v>349</v>
      </c>
      <c r="F8" s="25" t="s">
        <v>349</v>
      </c>
      <c r="G8" s="25" t="s">
        <v>349</v>
      </c>
      <c r="H8" s="25" t="s">
        <v>349</v>
      </c>
      <c r="I8" s="25" t="s">
        <v>349</v>
      </c>
      <c r="J8" s="25" t="s">
        <v>349</v>
      </c>
      <c r="K8" s="25" t="s">
        <v>349</v>
      </c>
      <c r="L8" s="25" t="s">
        <v>349</v>
      </c>
      <c r="M8" s="25" t="s">
        <v>349</v>
      </c>
      <c r="N8" s="25" t="s">
        <v>349</v>
      </c>
      <c r="O8" s="25" t="s">
        <v>349</v>
      </c>
      <c r="P8" s="25" t="s">
        <v>349</v>
      </c>
      <c r="Q8" s="25" t="s">
        <v>349</v>
      </c>
      <c r="R8" s="25" t="s">
        <v>349</v>
      </c>
      <c r="S8" s="25" t="s">
        <v>349</v>
      </c>
      <c r="T8" s="25" t="s">
        <v>349</v>
      </c>
      <c r="U8" s="25" t="s">
        <v>349</v>
      </c>
    </row>
    <row r="9" spans="1:21" ht="15" customHeight="1" thickTop="1" x14ac:dyDescent="0.25">
      <c r="A9" s="24" t="s">
        <v>290</v>
      </c>
      <c r="B9" s="28">
        <f>_xll.StatMean(ST_1989)</f>
        <v>72.177999999999997</v>
      </c>
      <c r="C9" s="28">
        <f>_xll.StatMean(ST_1990)</f>
        <v>78.691999999999993</v>
      </c>
      <c r="D9" s="28">
        <f>_xll.StatMean(ST_1991)</f>
        <v>79.366</v>
      </c>
      <c r="E9" s="28">
        <f>_xll.StatMean(ST_1992)</f>
        <v>74.74799999999999</v>
      </c>
      <c r="F9" s="28">
        <f>_xll.StatMean(ST_1993)</f>
        <v>77.73</v>
      </c>
      <c r="G9" s="28">
        <f>_xll.StatMean(ST_1994)</f>
        <v>70.106000000000009</v>
      </c>
      <c r="H9" s="28">
        <f>_xll.StatMean(ST_1995)</f>
        <v>75.436000000000007</v>
      </c>
      <c r="I9" s="28">
        <f>_xll.StatMean(ST_1996)</f>
        <v>76.988000000000014</v>
      </c>
      <c r="J9" s="28">
        <f>_xll.StatMean(ST_1997)</f>
        <v>82.918000000000006</v>
      </c>
      <c r="K9" s="28">
        <f>_xll.StatMean(ST_1998)</f>
        <v>65.213999999999984</v>
      </c>
      <c r="L9" s="28">
        <f>_xll.StatMean(ST_1999)</f>
        <v>74.95</v>
      </c>
      <c r="M9" s="28">
        <f>_xll.StatMean(ST_2000)</f>
        <v>108.86399999999999</v>
      </c>
      <c r="N9" s="28">
        <f>_xll.StatMean(ST_2001)</f>
        <v>104.84399999999999</v>
      </c>
      <c r="O9" s="28">
        <f>_xll.StatMean(ST_2002)</f>
        <v>96.34</v>
      </c>
      <c r="P9" s="28">
        <f>_xll.StatMean(ST_2003)</f>
        <v>115.96199999999997</v>
      </c>
      <c r="Q9" s="28">
        <f>_xll.StatMean(ST_2004)</f>
        <v>143.71199999999993</v>
      </c>
      <c r="R9" s="28">
        <f>_xll.StatMean(ST_2005)</f>
        <v>183.97399999999999</v>
      </c>
      <c r="S9" s="28">
        <f>_xll.StatMean(ST_2006)</f>
        <v>213.65000000000006</v>
      </c>
      <c r="T9" s="28">
        <f>_xll.StatMean(ST_2007)</f>
        <v>235.46600000000007</v>
      </c>
      <c r="U9" s="29">
        <f>_xll.StatMean(ST_2008)</f>
        <v>279.46199999999999</v>
      </c>
    </row>
    <row r="10" spans="1:21" ht="15" customHeight="1" x14ac:dyDescent="0.25">
      <c r="A10" s="24" t="s">
        <v>291</v>
      </c>
      <c r="B10" s="28">
        <f>_xll.StatStdDev(ST_1989)</f>
        <v>5.8286516100927432</v>
      </c>
      <c r="C10" s="28">
        <f>_xll.StatStdDev(ST_1990)</f>
        <v>6.0541380687181263</v>
      </c>
      <c r="D10" s="28">
        <f>_xll.StatStdDev(ST_1991)</f>
        <v>7.2143454028648177</v>
      </c>
      <c r="E10" s="28">
        <f>_xll.StatStdDev(ST_1992)</f>
        <v>7.025964673398005</v>
      </c>
      <c r="F10" s="28">
        <f>_xll.StatStdDev(ST_1993)</f>
        <v>7.7373530779628537</v>
      </c>
      <c r="G10" s="28">
        <f>_xll.StatStdDev(ST_1994)</f>
        <v>9.3464914294518202</v>
      </c>
      <c r="H10" s="28">
        <f>_xll.StatStdDev(ST_1995)</f>
        <v>8.0277264425698203</v>
      </c>
      <c r="I10" s="28">
        <f>_xll.StatStdDev(ST_1996)</f>
        <v>8.0527505758426834</v>
      </c>
      <c r="J10" s="28">
        <f>_xll.StatStdDev(ST_1997)</f>
        <v>8.2589392509583472</v>
      </c>
      <c r="K10" s="28">
        <f>_xll.StatStdDev(ST_1998)</f>
        <v>8.9961898964540108</v>
      </c>
      <c r="L10" s="28">
        <f>_xll.StatStdDev(ST_1999)</f>
        <v>8.1696613973247842</v>
      </c>
      <c r="M10" s="28">
        <f>_xll.StatStdDev(ST_2000)</f>
        <v>7.091810741400022</v>
      </c>
      <c r="N10" s="28">
        <f>_xll.StatStdDev(ST_2001)</f>
        <v>9.769280465639552</v>
      </c>
      <c r="O10" s="28">
        <f>_xll.StatStdDev(ST_2002)</f>
        <v>6.9546343380159241</v>
      </c>
      <c r="P10" s="28">
        <f>_xll.StatStdDev(ST_2003)</f>
        <v>9.7702566130943715</v>
      </c>
      <c r="Q10" s="28">
        <f>_xll.StatStdDev(ST_2004)</f>
        <v>8.3408177546525089</v>
      </c>
      <c r="R10" s="28">
        <f>_xll.StatStdDev(ST_2005)</f>
        <v>7.5922842143742715</v>
      </c>
      <c r="S10" s="28">
        <f>_xll.StatStdDev(ST_2006)</f>
        <v>8.9224378932657018</v>
      </c>
      <c r="T10" s="28">
        <f>_xll.StatStdDev(ST_2007)</f>
        <v>7.376261151249226</v>
      </c>
      <c r="U10" s="29">
        <f>_xll.StatStdDev(ST_2008)</f>
        <v>11.898034308580698</v>
      </c>
    </row>
    <row r="11" spans="1:21" ht="15" customHeight="1" x14ac:dyDescent="0.25">
      <c r="A11" s="24" t="s">
        <v>292</v>
      </c>
      <c r="B11" s="28">
        <f>_xll.StatMedian(ST_1989)</f>
        <v>70.400000000000006</v>
      </c>
      <c r="C11" s="28">
        <f>_xll.StatMedian(ST_1990)</f>
        <v>77.900000000000006</v>
      </c>
      <c r="D11" s="28">
        <f>_xll.StatMedian(ST_1991)</f>
        <v>78.400000000000006</v>
      </c>
      <c r="E11" s="28">
        <f>_xll.StatMedian(ST_1992)</f>
        <v>73.3</v>
      </c>
      <c r="F11" s="28">
        <f>_xll.StatMedian(ST_1993)</f>
        <v>75.400000000000006</v>
      </c>
      <c r="G11" s="28">
        <f>_xll.StatMedian(ST_1994)</f>
        <v>68.3</v>
      </c>
      <c r="H11" s="28">
        <f>_xll.StatMedian(ST_1995)</f>
        <v>74.5</v>
      </c>
      <c r="I11" s="28">
        <f>_xll.StatMedian(ST_1996)</f>
        <v>75.3</v>
      </c>
      <c r="J11" s="28">
        <f>_xll.StatMedian(ST_1997)</f>
        <v>80.8</v>
      </c>
      <c r="K11" s="28">
        <f>_xll.StatMedian(ST_1998)</f>
        <v>63</v>
      </c>
      <c r="L11" s="28">
        <f>_xll.StatMedian(ST_1999)</f>
        <v>73.7</v>
      </c>
      <c r="M11" s="28">
        <f>_xll.StatMedian(ST_2000)</f>
        <v>108.4</v>
      </c>
      <c r="N11" s="28">
        <f>_xll.StatMedian(ST_2001)</f>
        <v>102.6</v>
      </c>
      <c r="O11" s="28">
        <f>_xll.StatMedian(ST_2002)</f>
        <v>95</v>
      </c>
      <c r="P11" s="28">
        <f>_xll.StatMedian(ST_2003)</f>
        <v>114.7</v>
      </c>
      <c r="Q11" s="28">
        <f>_xll.StatMedian(ST_2004)</f>
        <v>141.9</v>
      </c>
      <c r="R11" s="28">
        <f>_xll.StatMedian(ST_2005)</f>
        <v>181.9</v>
      </c>
      <c r="S11" s="28">
        <f>_xll.StatMedian(ST_2006)</f>
        <v>211.6</v>
      </c>
      <c r="T11" s="28">
        <f>_xll.StatMedian(ST_2007)</f>
        <v>234.5</v>
      </c>
      <c r="U11" s="29">
        <f>_xll.StatMedian(ST_2008)</f>
        <v>276.7</v>
      </c>
    </row>
    <row r="12" spans="1:21" ht="15" customHeight="1" x14ac:dyDescent="0.25">
      <c r="A12" s="24" t="s">
        <v>293</v>
      </c>
      <c r="B12" s="28">
        <f>_xll.StatQuartile(ST_1989, 1)</f>
        <v>68.3</v>
      </c>
      <c r="C12" s="28">
        <f>_xll.StatQuartile(ST_1990, 1)</f>
        <v>74.599999999999994</v>
      </c>
      <c r="D12" s="28">
        <f>_xll.StatQuartile(ST_1991, 1)</f>
        <v>75.900000000000006</v>
      </c>
      <c r="E12" s="28">
        <f>_xll.StatQuartile(ST_1992, 1)</f>
        <v>70.599999999999994</v>
      </c>
      <c r="F12" s="28">
        <f>_xll.StatQuartile(ST_1993, 1)</f>
        <v>72.8</v>
      </c>
      <c r="G12" s="28">
        <f>_xll.StatQuartile(ST_1994, 1)</f>
        <v>64.400000000000006</v>
      </c>
      <c r="H12" s="28">
        <f>_xll.StatQuartile(ST_1995, 1)</f>
        <v>70.5</v>
      </c>
      <c r="I12" s="28">
        <f>_xll.StatQuartile(ST_1996, 1)</f>
        <v>71.7</v>
      </c>
      <c r="J12" s="28">
        <f>_xll.StatQuartile(ST_1997, 1)</f>
        <v>77.8</v>
      </c>
      <c r="K12" s="28">
        <f>_xll.StatQuartile(ST_1998, 1)</f>
        <v>60.4</v>
      </c>
      <c r="L12" s="28">
        <f>_xll.StatQuartile(ST_1999, 1)</f>
        <v>68.900000000000006</v>
      </c>
      <c r="M12" s="28">
        <f>_xll.StatQuartile(ST_2000, 1)</f>
        <v>104.1</v>
      </c>
      <c r="N12" s="28">
        <f>_xll.StatQuartile(ST_2001, 1)</f>
        <v>99.2</v>
      </c>
      <c r="O12" s="28">
        <f>_xll.StatQuartile(ST_2002, 1)</f>
        <v>92.6</v>
      </c>
      <c r="P12" s="28">
        <f>_xll.StatQuartile(ST_2003, 1)</f>
        <v>109.2</v>
      </c>
      <c r="Q12" s="28">
        <f>_xll.StatQuartile(ST_2004, 1)</f>
        <v>138.4</v>
      </c>
      <c r="R12" s="28">
        <f>_xll.StatQuartile(ST_2005, 1)</f>
        <v>179.8</v>
      </c>
      <c r="S12" s="28">
        <f>_xll.StatQuartile(ST_2006, 1)</f>
        <v>208.3</v>
      </c>
      <c r="T12" s="28">
        <f>_xll.StatQuartile(ST_2007, 1)</f>
        <v>229.4</v>
      </c>
      <c r="U12" s="29">
        <f>_xll.StatQuartile(ST_2008, 1)</f>
        <v>273.60000000000002</v>
      </c>
    </row>
    <row r="13" spans="1:21" ht="15" customHeight="1" x14ac:dyDescent="0.25">
      <c r="A13" s="24" t="s">
        <v>294</v>
      </c>
      <c r="B13" s="28">
        <f>_xll.StatQuartile(ST_1989, 3)</f>
        <v>74.7</v>
      </c>
      <c r="C13" s="28">
        <f>_xll.StatQuartile(ST_1990, 3)</f>
        <v>81</v>
      </c>
      <c r="D13" s="28">
        <f>_xll.StatQuartile(ST_1991, 3)</f>
        <v>82.4</v>
      </c>
      <c r="E13" s="28">
        <f>_xll.StatQuartile(ST_1992, 3)</f>
        <v>76.8</v>
      </c>
      <c r="F13" s="28">
        <f>_xll.StatQuartile(ST_1993, 3)</f>
        <v>80.400000000000006</v>
      </c>
      <c r="G13" s="28">
        <f>_xll.StatQuartile(ST_1994, 3)</f>
        <v>72.3</v>
      </c>
      <c r="H13" s="28">
        <f>_xll.StatQuartile(ST_1995, 3)</f>
        <v>77.5</v>
      </c>
      <c r="I13" s="28">
        <f>_xll.StatQuartile(ST_1996, 3)</f>
        <v>79.5</v>
      </c>
      <c r="J13" s="28">
        <f>_xll.StatQuartile(ST_1997, 3)</f>
        <v>86.5</v>
      </c>
      <c r="K13" s="28">
        <f>_xll.StatQuartile(ST_1998, 3)</f>
        <v>68.8</v>
      </c>
      <c r="L13" s="28">
        <f>_xll.StatQuartile(ST_1999, 3)</f>
        <v>79.099999999999994</v>
      </c>
      <c r="M13" s="28">
        <f>_xll.StatQuartile(ST_2000, 3)</f>
        <v>112.9</v>
      </c>
      <c r="N13" s="28">
        <f>_xll.StatQuartile(ST_2001, 3)</f>
        <v>108.9</v>
      </c>
      <c r="O13" s="28">
        <f>_xll.StatQuartile(ST_2002, 3)</f>
        <v>98.4</v>
      </c>
      <c r="P13" s="28">
        <f>_xll.StatQuartile(ST_2003, 3)</f>
        <v>118</v>
      </c>
      <c r="Q13" s="28">
        <f>_xll.StatQuartile(ST_2004, 3)</f>
        <v>146.19999999999999</v>
      </c>
      <c r="R13" s="28">
        <f>_xll.StatQuartile(ST_2005, 3)</f>
        <v>185.9</v>
      </c>
      <c r="S13" s="28">
        <f>_xll.StatQuartile(ST_2006, 3)</f>
        <v>217</v>
      </c>
      <c r="T13" s="28">
        <f>_xll.StatQuartile(ST_2007, 3)</f>
        <v>238.4</v>
      </c>
      <c r="U13" s="29">
        <f>_xll.StatQuartile(ST_2008, 3)</f>
        <v>281.89999999999998</v>
      </c>
    </row>
    <row r="14" spans="1:21" ht="15" customHeight="1" x14ac:dyDescent="0.25"/>
    <row r="15" spans="1:21" ht="15" customHeight="1" x14ac:dyDescent="0.25"/>
  </sheetData>
  <pageMargins left="0.7" right="0.7" top="0.75" bottom="0.75" header="0.3" footer="0.3"/>
  <pageSetup orientation="portrait" blackAndWhite="1"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21"/>
  <sheetViews>
    <sheetView workbookViewId="0"/>
  </sheetViews>
  <sheetFormatPr defaultRowHeight="15" x14ac:dyDescent="0.25"/>
  <cols>
    <col min="1" max="1" width="22" style="1" customWidth="1"/>
    <col min="2" max="13" width="7.28515625" style="1" bestFit="1" customWidth="1"/>
    <col min="14" max="16" width="8.85546875" style="2" customWidth="1"/>
    <col min="17" max="254" width="9.140625" style="1"/>
    <col min="255" max="255" width="22" style="1" customWidth="1"/>
    <col min="256" max="256" width="10.140625" style="1" customWidth="1"/>
    <col min="257" max="257" width="8.28515625" style="1" customWidth="1"/>
    <col min="258" max="269" width="7.28515625" style="1" bestFit="1" customWidth="1"/>
    <col min="270" max="272" width="8.85546875" style="1" customWidth="1"/>
    <col min="273" max="510" width="9.140625" style="1"/>
    <col min="511" max="511" width="22" style="1" customWidth="1"/>
    <col min="512" max="512" width="10.140625" style="1" customWidth="1"/>
    <col min="513" max="513" width="8.28515625" style="1" customWidth="1"/>
    <col min="514" max="525" width="7.28515625" style="1" bestFit="1" customWidth="1"/>
    <col min="526" max="528" width="8.85546875" style="1" customWidth="1"/>
    <col min="529" max="766" width="9.140625" style="1"/>
    <col min="767" max="767" width="22" style="1" customWidth="1"/>
    <col min="768" max="768" width="10.140625" style="1" customWidth="1"/>
    <col min="769" max="769" width="8.28515625" style="1" customWidth="1"/>
    <col min="770" max="781" width="7.28515625" style="1" bestFit="1" customWidth="1"/>
    <col min="782" max="784" width="8.85546875" style="1" customWidth="1"/>
    <col min="785" max="1022" width="9.140625" style="1"/>
    <col min="1023" max="1023" width="22" style="1" customWidth="1"/>
    <col min="1024" max="1024" width="10.140625" style="1" customWidth="1"/>
    <col min="1025" max="1025" width="8.28515625" style="1" customWidth="1"/>
    <col min="1026" max="1037" width="7.28515625" style="1" bestFit="1" customWidth="1"/>
    <col min="1038" max="1040" width="8.85546875" style="1" customWidth="1"/>
    <col min="1041" max="1278" width="9.140625" style="1"/>
    <col min="1279" max="1279" width="22" style="1" customWidth="1"/>
    <col min="1280" max="1280" width="10.140625" style="1" customWidth="1"/>
    <col min="1281" max="1281" width="8.28515625" style="1" customWidth="1"/>
    <col min="1282" max="1293" width="7.28515625" style="1" bestFit="1" customWidth="1"/>
    <col min="1294" max="1296" width="8.85546875" style="1" customWidth="1"/>
    <col min="1297" max="1534" width="9.140625" style="1"/>
    <col min="1535" max="1535" width="22" style="1" customWidth="1"/>
    <col min="1536" max="1536" width="10.140625" style="1" customWidth="1"/>
    <col min="1537" max="1537" width="8.28515625" style="1" customWidth="1"/>
    <col min="1538" max="1549" width="7.28515625" style="1" bestFit="1" customWidth="1"/>
    <col min="1550" max="1552" width="8.85546875" style="1" customWidth="1"/>
    <col min="1553" max="1790" width="9.140625" style="1"/>
    <col min="1791" max="1791" width="22" style="1" customWidth="1"/>
    <col min="1792" max="1792" width="10.140625" style="1" customWidth="1"/>
    <col min="1793" max="1793" width="8.28515625" style="1" customWidth="1"/>
    <col min="1794" max="1805" width="7.28515625" style="1" bestFit="1" customWidth="1"/>
    <col min="1806" max="1808" width="8.85546875" style="1" customWidth="1"/>
    <col min="1809" max="2046" width="9.140625" style="1"/>
    <col min="2047" max="2047" width="22" style="1" customWidth="1"/>
    <col min="2048" max="2048" width="10.140625" style="1" customWidth="1"/>
    <col min="2049" max="2049" width="8.28515625" style="1" customWidth="1"/>
    <col min="2050" max="2061" width="7.28515625" style="1" bestFit="1" customWidth="1"/>
    <col min="2062" max="2064" width="8.85546875" style="1" customWidth="1"/>
    <col min="2065" max="2302" width="9.140625" style="1"/>
    <col min="2303" max="2303" width="22" style="1" customWidth="1"/>
    <col min="2304" max="2304" width="10.140625" style="1" customWidth="1"/>
    <col min="2305" max="2305" width="8.28515625" style="1" customWidth="1"/>
    <col min="2306" max="2317" width="7.28515625" style="1" bestFit="1" customWidth="1"/>
    <col min="2318" max="2320" width="8.85546875" style="1" customWidth="1"/>
    <col min="2321" max="2558" width="9.140625" style="1"/>
    <col min="2559" max="2559" width="22" style="1" customWidth="1"/>
    <col min="2560" max="2560" width="10.140625" style="1" customWidth="1"/>
    <col min="2561" max="2561" width="8.28515625" style="1" customWidth="1"/>
    <col min="2562" max="2573" width="7.28515625" style="1" bestFit="1" customWidth="1"/>
    <col min="2574" max="2576" width="8.85546875" style="1" customWidth="1"/>
    <col min="2577" max="2814" width="9.140625" style="1"/>
    <col min="2815" max="2815" width="22" style="1" customWidth="1"/>
    <col min="2816" max="2816" width="10.140625" style="1" customWidth="1"/>
    <col min="2817" max="2817" width="8.28515625" style="1" customWidth="1"/>
    <col min="2818" max="2829" width="7.28515625" style="1" bestFit="1" customWidth="1"/>
    <col min="2830" max="2832" width="8.85546875" style="1" customWidth="1"/>
    <col min="2833" max="3070" width="9.140625" style="1"/>
    <col min="3071" max="3071" width="22" style="1" customWidth="1"/>
    <col min="3072" max="3072" width="10.140625" style="1" customWidth="1"/>
    <col min="3073" max="3073" width="8.28515625" style="1" customWidth="1"/>
    <col min="3074" max="3085" width="7.28515625" style="1" bestFit="1" customWidth="1"/>
    <col min="3086" max="3088" width="8.85546875" style="1" customWidth="1"/>
    <col min="3089" max="3326" width="9.140625" style="1"/>
    <col min="3327" max="3327" width="22" style="1" customWidth="1"/>
    <col min="3328" max="3328" width="10.140625" style="1" customWidth="1"/>
    <col min="3329" max="3329" width="8.28515625" style="1" customWidth="1"/>
    <col min="3330" max="3341" width="7.28515625" style="1" bestFit="1" customWidth="1"/>
    <col min="3342" max="3344" width="8.85546875" style="1" customWidth="1"/>
    <col min="3345" max="3582" width="9.140625" style="1"/>
    <col min="3583" max="3583" width="22" style="1" customWidth="1"/>
    <col min="3584" max="3584" width="10.140625" style="1" customWidth="1"/>
    <col min="3585" max="3585" width="8.28515625" style="1" customWidth="1"/>
    <col min="3586" max="3597" width="7.28515625" style="1" bestFit="1" customWidth="1"/>
    <col min="3598" max="3600" width="8.85546875" style="1" customWidth="1"/>
    <col min="3601" max="3838" width="9.140625" style="1"/>
    <col min="3839" max="3839" width="22" style="1" customWidth="1"/>
    <col min="3840" max="3840" width="10.140625" style="1" customWidth="1"/>
    <col min="3841" max="3841" width="8.28515625" style="1" customWidth="1"/>
    <col min="3842" max="3853" width="7.28515625" style="1" bestFit="1" customWidth="1"/>
    <col min="3854" max="3856" width="8.85546875" style="1" customWidth="1"/>
    <col min="3857" max="4094" width="9.140625" style="1"/>
    <col min="4095" max="4095" width="22" style="1" customWidth="1"/>
    <col min="4096" max="4096" width="10.140625" style="1" customWidth="1"/>
    <col min="4097" max="4097" width="8.28515625" style="1" customWidth="1"/>
    <col min="4098" max="4109" width="7.28515625" style="1" bestFit="1" customWidth="1"/>
    <col min="4110" max="4112" width="8.85546875" style="1" customWidth="1"/>
    <col min="4113" max="4350" width="9.140625" style="1"/>
    <col min="4351" max="4351" width="22" style="1" customWidth="1"/>
    <col min="4352" max="4352" width="10.140625" style="1" customWidth="1"/>
    <col min="4353" max="4353" width="8.28515625" style="1" customWidth="1"/>
    <col min="4354" max="4365" width="7.28515625" style="1" bestFit="1" customWidth="1"/>
    <col min="4366" max="4368" width="8.85546875" style="1" customWidth="1"/>
    <col min="4369" max="4606" width="9.140625" style="1"/>
    <col min="4607" max="4607" width="22" style="1" customWidth="1"/>
    <col min="4608" max="4608" width="10.140625" style="1" customWidth="1"/>
    <col min="4609" max="4609" width="8.28515625" style="1" customWidth="1"/>
    <col min="4610" max="4621" width="7.28515625" style="1" bestFit="1" customWidth="1"/>
    <col min="4622" max="4624" width="8.85546875" style="1" customWidth="1"/>
    <col min="4625" max="4862" width="9.140625" style="1"/>
    <col min="4863" max="4863" width="22" style="1" customWidth="1"/>
    <col min="4864" max="4864" width="10.140625" style="1" customWidth="1"/>
    <col min="4865" max="4865" width="8.28515625" style="1" customWidth="1"/>
    <col min="4866" max="4877" width="7.28515625" style="1" bestFit="1" customWidth="1"/>
    <col min="4878" max="4880" width="8.85546875" style="1" customWidth="1"/>
    <col min="4881" max="5118" width="9.140625" style="1"/>
    <col min="5119" max="5119" width="22" style="1" customWidth="1"/>
    <col min="5120" max="5120" width="10.140625" style="1" customWidth="1"/>
    <col min="5121" max="5121" width="8.28515625" style="1" customWidth="1"/>
    <col min="5122" max="5133" width="7.28515625" style="1" bestFit="1" customWidth="1"/>
    <col min="5134" max="5136" width="8.85546875" style="1" customWidth="1"/>
    <col min="5137" max="5374" width="9.140625" style="1"/>
    <col min="5375" max="5375" width="22" style="1" customWidth="1"/>
    <col min="5376" max="5376" width="10.140625" style="1" customWidth="1"/>
    <col min="5377" max="5377" width="8.28515625" style="1" customWidth="1"/>
    <col min="5378" max="5389" width="7.28515625" style="1" bestFit="1" customWidth="1"/>
    <col min="5390" max="5392" width="8.85546875" style="1" customWidth="1"/>
    <col min="5393" max="5630" width="9.140625" style="1"/>
    <col min="5631" max="5631" width="22" style="1" customWidth="1"/>
    <col min="5632" max="5632" width="10.140625" style="1" customWidth="1"/>
    <col min="5633" max="5633" width="8.28515625" style="1" customWidth="1"/>
    <col min="5634" max="5645" width="7.28515625" style="1" bestFit="1" customWidth="1"/>
    <col min="5646" max="5648" width="8.85546875" style="1" customWidth="1"/>
    <col min="5649" max="5886" width="9.140625" style="1"/>
    <col min="5887" max="5887" width="22" style="1" customWidth="1"/>
    <col min="5888" max="5888" width="10.140625" style="1" customWidth="1"/>
    <col min="5889" max="5889" width="8.28515625" style="1" customWidth="1"/>
    <col min="5890" max="5901" width="7.28515625" style="1" bestFit="1" customWidth="1"/>
    <col min="5902" max="5904" width="8.85546875" style="1" customWidth="1"/>
    <col min="5905" max="6142" width="9.140625" style="1"/>
    <col min="6143" max="6143" width="22" style="1" customWidth="1"/>
    <col min="6144" max="6144" width="10.140625" style="1" customWidth="1"/>
    <col min="6145" max="6145" width="8.28515625" style="1" customWidth="1"/>
    <col min="6146" max="6157" width="7.28515625" style="1" bestFit="1" customWidth="1"/>
    <col min="6158" max="6160" width="8.85546875" style="1" customWidth="1"/>
    <col min="6161" max="6398" width="9.140625" style="1"/>
    <col min="6399" max="6399" width="22" style="1" customWidth="1"/>
    <col min="6400" max="6400" width="10.140625" style="1" customWidth="1"/>
    <col min="6401" max="6401" width="8.28515625" style="1" customWidth="1"/>
    <col min="6402" max="6413" width="7.28515625" style="1" bestFit="1" customWidth="1"/>
    <col min="6414" max="6416" width="8.85546875" style="1" customWidth="1"/>
    <col min="6417" max="6654" width="9.140625" style="1"/>
    <col min="6655" max="6655" width="22" style="1" customWidth="1"/>
    <col min="6656" max="6656" width="10.140625" style="1" customWidth="1"/>
    <col min="6657" max="6657" width="8.28515625" style="1" customWidth="1"/>
    <col min="6658" max="6669" width="7.28515625" style="1" bestFit="1" customWidth="1"/>
    <col min="6670" max="6672" width="8.85546875" style="1" customWidth="1"/>
    <col min="6673" max="6910" width="9.140625" style="1"/>
    <col min="6911" max="6911" width="22" style="1" customWidth="1"/>
    <col min="6912" max="6912" width="10.140625" style="1" customWidth="1"/>
    <col min="6913" max="6913" width="8.28515625" style="1" customWidth="1"/>
    <col min="6914" max="6925" width="7.28515625" style="1" bestFit="1" customWidth="1"/>
    <col min="6926" max="6928" width="8.85546875" style="1" customWidth="1"/>
    <col min="6929" max="7166" width="9.140625" style="1"/>
    <col min="7167" max="7167" width="22" style="1" customWidth="1"/>
    <col min="7168" max="7168" width="10.140625" style="1" customWidth="1"/>
    <col min="7169" max="7169" width="8.28515625" style="1" customWidth="1"/>
    <col min="7170" max="7181" width="7.28515625" style="1" bestFit="1" customWidth="1"/>
    <col min="7182" max="7184" width="8.85546875" style="1" customWidth="1"/>
    <col min="7185" max="7422" width="9.140625" style="1"/>
    <col min="7423" max="7423" width="22" style="1" customWidth="1"/>
    <col min="7424" max="7424" width="10.140625" style="1" customWidth="1"/>
    <col min="7425" max="7425" width="8.28515625" style="1" customWidth="1"/>
    <col min="7426" max="7437" width="7.28515625" style="1" bestFit="1" customWidth="1"/>
    <col min="7438" max="7440" width="8.85546875" style="1" customWidth="1"/>
    <col min="7441" max="7678" width="9.140625" style="1"/>
    <col min="7679" max="7679" width="22" style="1" customWidth="1"/>
    <col min="7680" max="7680" width="10.140625" style="1" customWidth="1"/>
    <col min="7681" max="7681" width="8.28515625" style="1" customWidth="1"/>
    <col min="7682" max="7693" width="7.28515625" style="1" bestFit="1" customWidth="1"/>
    <col min="7694" max="7696" width="8.85546875" style="1" customWidth="1"/>
    <col min="7697" max="7934" width="9.140625" style="1"/>
    <col min="7935" max="7935" width="22" style="1" customWidth="1"/>
    <col min="7936" max="7936" width="10.140625" style="1" customWidth="1"/>
    <col min="7937" max="7937" width="8.28515625" style="1" customWidth="1"/>
    <col min="7938" max="7949" width="7.28515625" style="1" bestFit="1" customWidth="1"/>
    <col min="7950" max="7952" width="8.85546875" style="1" customWidth="1"/>
    <col min="7953" max="8190" width="9.140625" style="1"/>
    <col min="8191" max="8191" width="22" style="1" customWidth="1"/>
    <col min="8192" max="8192" width="10.140625" style="1" customWidth="1"/>
    <col min="8193" max="8193" width="8.28515625" style="1" customWidth="1"/>
    <col min="8194" max="8205" width="7.28515625" style="1" bestFit="1" customWidth="1"/>
    <col min="8206" max="8208" width="8.85546875" style="1" customWidth="1"/>
    <col min="8209" max="8446" width="9.140625" style="1"/>
    <col min="8447" max="8447" width="22" style="1" customWidth="1"/>
    <col min="8448" max="8448" width="10.140625" style="1" customWidth="1"/>
    <col min="8449" max="8449" width="8.28515625" style="1" customWidth="1"/>
    <col min="8450" max="8461" width="7.28515625" style="1" bestFit="1" customWidth="1"/>
    <col min="8462" max="8464" width="8.85546875" style="1" customWidth="1"/>
    <col min="8465" max="8702" width="9.140625" style="1"/>
    <col min="8703" max="8703" width="22" style="1" customWidth="1"/>
    <col min="8704" max="8704" width="10.140625" style="1" customWidth="1"/>
    <col min="8705" max="8705" width="8.28515625" style="1" customWidth="1"/>
    <col min="8706" max="8717" width="7.28515625" style="1" bestFit="1" customWidth="1"/>
    <col min="8718" max="8720" width="8.85546875" style="1" customWidth="1"/>
    <col min="8721" max="8958" width="9.140625" style="1"/>
    <col min="8959" max="8959" width="22" style="1" customWidth="1"/>
    <col min="8960" max="8960" width="10.140625" style="1" customWidth="1"/>
    <col min="8961" max="8961" width="8.28515625" style="1" customWidth="1"/>
    <col min="8962" max="8973" width="7.28515625" style="1" bestFit="1" customWidth="1"/>
    <col min="8974" max="8976" width="8.85546875" style="1" customWidth="1"/>
    <col min="8977" max="9214" width="9.140625" style="1"/>
    <col min="9215" max="9215" width="22" style="1" customWidth="1"/>
    <col min="9216" max="9216" width="10.140625" style="1" customWidth="1"/>
    <col min="9217" max="9217" width="8.28515625" style="1" customWidth="1"/>
    <col min="9218" max="9229" width="7.28515625" style="1" bestFit="1" customWidth="1"/>
    <col min="9230" max="9232" width="8.85546875" style="1" customWidth="1"/>
    <col min="9233" max="9470" width="9.140625" style="1"/>
    <col min="9471" max="9471" width="22" style="1" customWidth="1"/>
    <col min="9472" max="9472" width="10.140625" style="1" customWidth="1"/>
    <col min="9473" max="9473" width="8.28515625" style="1" customWidth="1"/>
    <col min="9474" max="9485" width="7.28515625" style="1" bestFit="1" customWidth="1"/>
    <col min="9486" max="9488" width="8.85546875" style="1" customWidth="1"/>
    <col min="9489" max="9726" width="9.140625" style="1"/>
    <col min="9727" max="9727" width="22" style="1" customWidth="1"/>
    <col min="9728" max="9728" width="10.140625" style="1" customWidth="1"/>
    <col min="9729" max="9729" width="8.28515625" style="1" customWidth="1"/>
    <col min="9730" max="9741" width="7.28515625" style="1" bestFit="1" customWidth="1"/>
    <col min="9742" max="9744" width="8.85546875" style="1" customWidth="1"/>
    <col min="9745" max="9982" width="9.140625" style="1"/>
    <col min="9983" max="9983" width="22" style="1" customWidth="1"/>
    <col min="9984" max="9984" width="10.140625" style="1" customWidth="1"/>
    <col min="9985" max="9985" width="8.28515625" style="1" customWidth="1"/>
    <col min="9986" max="9997" width="7.28515625" style="1" bestFit="1" customWidth="1"/>
    <col min="9998" max="10000" width="8.85546875" style="1" customWidth="1"/>
    <col min="10001" max="10238" width="9.140625" style="1"/>
    <col min="10239" max="10239" width="22" style="1" customWidth="1"/>
    <col min="10240" max="10240" width="10.140625" style="1" customWidth="1"/>
    <col min="10241" max="10241" width="8.28515625" style="1" customWidth="1"/>
    <col min="10242" max="10253" width="7.28515625" style="1" bestFit="1" customWidth="1"/>
    <col min="10254" max="10256" width="8.85546875" style="1" customWidth="1"/>
    <col min="10257" max="10494" width="9.140625" style="1"/>
    <col min="10495" max="10495" width="22" style="1" customWidth="1"/>
    <col min="10496" max="10496" width="10.140625" style="1" customWidth="1"/>
    <col min="10497" max="10497" width="8.28515625" style="1" customWidth="1"/>
    <col min="10498" max="10509" width="7.28515625" style="1" bestFit="1" customWidth="1"/>
    <col min="10510" max="10512" width="8.85546875" style="1" customWidth="1"/>
    <col min="10513" max="10750" width="9.140625" style="1"/>
    <col min="10751" max="10751" width="22" style="1" customWidth="1"/>
    <col min="10752" max="10752" width="10.140625" style="1" customWidth="1"/>
    <col min="10753" max="10753" width="8.28515625" style="1" customWidth="1"/>
    <col min="10754" max="10765" width="7.28515625" style="1" bestFit="1" customWidth="1"/>
    <col min="10766" max="10768" width="8.85546875" style="1" customWidth="1"/>
    <col min="10769" max="11006" width="9.140625" style="1"/>
    <col min="11007" max="11007" width="22" style="1" customWidth="1"/>
    <col min="11008" max="11008" width="10.140625" style="1" customWidth="1"/>
    <col min="11009" max="11009" width="8.28515625" style="1" customWidth="1"/>
    <col min="11010" max="11021" width="7.28515625" style="1" bestFit="1" customWidth="1"/>
    <col min="11022" max="11024" width="8.85546875" style="1" customWidth="1"/>
    <col min="11025" max="11262" width="9.140625" style="1"/>
    <col min="11263" max="11263" width="22" style="1" customWidth="1"/>
    <col min="11264" max="11264" width="10.140625" style="1" customWidth="1"/>
    <col min="11265" max="11265" width="8.28515625" style="1" customWidth="1"/>
    <col min="11266" max="11277" width="7.28515625" style="1" bestFit="1" customWidth="1"/>
    <col min="11278" max="11280" width="8.85546875" style="1" customWidth="1"/>
    <col min="11281" max="11518" width="9.140625" style="1"/>
    <col min="11519" max="11519" width="22" style="1" customWidth="1"/>
    <col min="11520" max="11520" width="10.140625" style="1" customWidth="1"/>
    <col min="11521" max="11521" width="8.28515625" style="1" customWidth="1"/>
    <col min="11522" max="11533" width="7.28515625" style="1" bestFit="1" customWidth="1"/>
    <col min="11534" max="11536" width="8.85546875" style="1" customWidth="1"/>
    <col min="11537" max="11774" width="9.140625" style="1"/>
    <col min="11775" max="11775" width="22" style="1" customWidth="1"/>
    <col min="11776" max="11776" width="10.140625" style="1" customWidth="1"/>
    <col min="11777" max="11777" width="8.28515625" style="1" customWidth="1"/>
    <col min="11778" max="11789" width="7.28515625" style="1" bestFit="1" customWidth="1"/>
    <col min="11790" max="11792" width="8.85546875" style="1" customWidth="1"/>
    <col min="11793" max="12030" width="9.140625" style="1"/>
    <col min="12031" max="12031" width="22" style="1" customWidth="1"/>
    <col min="12032" max="12032" width="10.140625" style="1" customWidth="1"/>
    <col min="12033" max="12033" width="8.28515625" style="1" customWidth="1"/>
    <col min="12034" max="12045" width="7.28515625" style="1" bestFit="1" customWidth="1"/>
    <col min="12046" max="12048" width="8.85546875" style="1" customWidth="1"/>
    <col min="12049" max="12286" width="9.140625" style="1"/>
    <col min="12287" max="12287" width="22" style="1" customWidth="1"/>
    <col min="12288" max="12288" width="10.140625" style="1" customWidth="1"/>
    <col min="12289" max="12289" width="8.28515625" style="1" customWidth="1"/>
    <col min="12290" max="12301" width="7.28515625" style="1" bestFit="1" customWidth="1"/>
    <col min="12302" max="12304" width="8.85546875" style="1" customWidth="1"/>
    <col min="12305" max="12542" width="9.140625" style="1"/>
    <col min="12543" max="12543" width="22" style="1" customWidth="1"/>
    <col min="12544" max="12544" width="10.140625" style="1" customWidth="1"/>
    <col min="12545" max="12545" width="8.28515625" style="1" customWidth="1"/>
    <col min="12546" max="12557" width="7.28515625" style="1" bestFit="1" customWidth="1"/>
    <col min="12558" max="12560" width="8.85546875" style="1" customWidth="1"/>
    <col min="12561" max="12798" width="9.140625" style="1"/>
    <col min="12799" max="12799" width="22" style="1" customWidth="1"/>
    <col min="12800" max="12800" width="10.140625" style="1" customWidth="1"/>
    <col min="12801" max="12801" width="8.28515625" style="1" customWidth="1"/>
    <col min="12802" max="12813" width="7.28515625" style="1" bestFit="1" customWidth="1"/>
    <col min="12814" max="12816" width="8.85546875" style="1" customWidth="1"/>
    <col min="12817" max="13054" width="9.140625" style="1"/>
    <col min="13055" max="13055" width="22" style="1" customWidth="1"/>
    <col min="13056" max="13056" width="10.140625" style="1" customWidth="1"/>
    <col min="13057" max="13057" width="8.28515625" style="1" customWidth="1"/>
    <col min="13058" max="13069" width="7.28515625" style="1" bestFit="1" customWidth="1"/>
    <col min="13070" max="13072" width="8.85546875" style="1" customWidth="1"/>
    <col min="13073" max="13310" width="9.140625" style="1"/>
    <col min="13311" max="13311" width="22" style="1" customWidth="1"/>
    <col min="13312" max="13312" width="10.140625" style="1" customWidth="1"/>
    <col min="13313" max="13313" width="8.28515625" style="1" customWidth="1"/>
    <col min="13314" max="13325" width="7.28515625" style="1" bestFit="1" customWidth="1"/>
    <col min="13326" max="13328" width="8.85546875" style="1" customWidth="1"/>
    <col min="13329" max="13566" width="9.140625" style="1"/>
    <col min="13567" max="13567" width="22" style="1" customWidth="1"/>
    <col min="13568" max="13568" width="10.140625" style="1" customWidth="1"/>
    <col min="13569" max="13569" width="8.28515625" style="1" customWidth="1"/>
    <col min="13570" max="13581" width="7.28515625" style="1" bestFit="1" customWidth="1"/>
    <col min="13582" max="13584" width="8.85546875" style="1" customWidth="1"/>
    <col min="13585" max="13822" width="9.140625" style="1"/>
    <col min="13823" max="13823" width="22" style="1" customWidth="1"/>
    <col min="13824" max="13824" width="10.140625" style="1" customWidth="1"/>
    <col min="13825" max="13825" width="8.28515625" style="1" customWidth="1"/>
    <col min="13826" max="13837" width="7.28515625" style="1" bestFit="1" customWidth="1"/>
    <col min="13838" max="13840" width="8.85546875" style="1" customWidth="1"/>
    <col min="13841" max="14078" width="9.140625" style="1"/>
    <col min="14079" max="14079" width="22" style="1" customWidth="1"/>
    <col min="14080" max="14080" width="10.140625" style="1" customWidth="1"/>
    <col min="14081" max="14081" width="8.28515625" style="1" customWidth="1"/>
    <col min="14082" max="14093" width="7.28515625" style="1" bestFit="1" customWidth="1"/>
    <col min="14094" max="14096" width="8.85546875" style="1" customWidth="1"/>
    <col min="14097" max="14334" width="9.140625" style="1"/>
    <col min="14335" max="14335" width="22" style="1" customWidth="1"/>
    <col min="14336" max="14336" width="10.140625" style="1" customWidth="1"/>
    <col min="14337" max="14337" width="8.28515625" style="1" customWidth="1"/>
    <col min="14338" max="14349" width="7.28515625" style="1" bestFit="1" customWidth="1"/>
    <col min="14350" max="14352" width="8.85546875" style="1" customWidth="1"/>
    <col min="14353" max="14590" width="9.140625" style="1"/>
    <col min="14591" max="14591" width="22" style="1" customWidth="1"/>
    <col min="14592" max="14592" width="10.140625" style="1" customWidth="1"/>
    <col min="14593" max="14593" width="8.28515625" style="1" customWidth="1"/>
    <col min="14594" max="14605" width="7.28515625" style="1" bestFit="1" customWidth="1"/>
    <col min="14606" max="14608" width="8.85546875" style="1" customWidth="1"/>
    <col min="14609" max="14846" width="9.140625" style="1"/>
    <col min="14847" max="14847" width="22" style="1" customWidth="1"/>
    <col min="14848" max="14848" width="10.140625" style="1" customWidth="1"/>
    <col min="14849" max="14849" width="8.28515625" style="1" customWidth="1"/>
    <col min="14850" max="14861" width="7.28515625" style="1" bestFit="1" customWidth="1"/>
    <col min="14862" max="14864" width="8.85546875" style="1" customWidth="1"/>
    <col min="14865" max="15102" width="9.140625" style="1"/>
    <col min="15103" max="15103" width="22" style="1" customWidth="1"/>
    <col min="15104" max="15104" width="10.140625" style="1" customWidth="1"/>
    <col min="15105" max="15105" width="8.28515625" style="1" customWidth="1"/>
    <col min="15106" max="15117" width="7.28515625" style="1" bestFit="1" customWidth="1"/>
    <col min="15118" max="15120" width="8.85546875" style="1" customWidth="1"/>
    <col min="15121" max="15358" width="9.140625" style="1"/>
    <col min="15359" max="15359" width="22" style="1" customWidth="1"/>
    <col min="15360" max="15360" width="10.140625" style="1" customWidth="1"/>
    <col min="15361" max="15361" width="8.28515625" style="1" customWidth="1"/>
    <col min="15362" max="15373" width="7.28515625" style="1" bestFit="1" customWidth="1"/>
    <col min="15374" max="15376" width="8.85546875" style="1" customWidth="1"/>
    <col min="15377" max="15614" width="9.140625" style="1"/>
    <col min="15615" max="15615" width="22" style="1" customWidth="1"/>
    <col min="15616" max="15616" width="10.140625" style="1" customWidth="1"/>
    <col min="15617" max="15617" width="8.28515625" style="1" customWidth="1"/>
    <col min="15618" max="15629" width="7.28515625" style="1" bestFit="1" customWidth="1"/>
    <col min="15630" max="15632" width="8.85546875" style="1" customWidth="1"/>
    <col min="15633" max="15870" width="9.140625" style="1"/>
    <col min="15871" max="15871" width="22" style="1" customWidth="1"/>
    <col min="15872" max="15872" width="10.140625" style="1" customWidth="1"/>
    <col min="15873" max="15873" width="8.28515625" style="1" customWidth="1"/>
    <col min="15874" max="15885" width="7.28515625" style="1" bestFit="1" customWidth="1"/>
    <col min="15886" max="15888" width="8.85546875" style="1" customWidth="1"/>
    <col min="15889" max="16126" width="9.140625" style="1"/>
    <col min="16127" max="16127" width="22" style="1" customWidth="1"/>
    <col min="16128" max="16128" width="10.140625" style="1" customWidth="1"/>
    <col min="16129" max="16129" width="8.28515625" style="1" customWidth="1"/>
    <col min="16130" max="16141" width="7.28515625" style="1" bestFit="1" customWidth="1"/>
    <col min="16142" max="16144" width="8.85546875" style="1" customWidth="1"/>
    <col min="16145" max="16384" width="9.140625" style="1"/>
  </cols>
  <sheetData>
    <row r="1" spans="1:22" x14ac:dyDescent="0.25">
      <c r="A1" s="3" t="s">
        <v>304</v>
      </c>
      <c r="B1" s="4">
        <v>1989</v>
      </c>
      <c r="C1" s="4">
        <v>1990</v>
      </c>
      <c r="D1" s="4">
        <v>1991</v>
      </c>
      <c r="E1" s="4">
        <v>1992</v>
      </c>
      <c r="F1" s="4">
        <v>1993</v>
      </c>
      <c r="G1" s="4">
        <v>1994</v>
      </c>
      <c r="H1" s="4">
        <v>1995</v>
      </c>
      <c r="I1" s="4">
        <v>1996</v>
      </c>
      <c r="J1" s="4">
        <v>1997</v>
      </c>
      <c r="K1" s="4">
        <v>1998</v>
      </c>
      <c r="L1" s="4">
        <v>1999</v>
      </c>
      <c r="M1" s="4">
        <v>2000</v>
      </c>
      <c r="N1" s="4">
        <v>2001</v>
      </c>
      <c r="O1" s="4">
        <v>2002</v>
      </c>
      <c r="P1" s="4">
        <v>2003</v>
      </c>
      <c r="Q1" s="4">
        <v>2004</v>
      </c>
      <c r="R1" s="4">
        <v>2005</v>
      </c>
      <c r="S1" s="4">
        <v>2006</v>
      </c>
      <c r="T1" s="4">
        <v>2007</v>
      </c>
      <c r="U1" s="4">
        <v>2008</v>
      </c>
      <c r="V1" s="4"/>
    </row>
    <row r="2" spans="1:22" x14ac:dyDescent="0.25">
      <c r="A2" s="1" t="s">
        <v>295</v>
      </c>
      <c r="B2" s="9">
        <v>79.816666666666677</v>
      </c>
      <c r="C2" s="9">
        <v>84.5</v>
      </c>
      <c r="D2" s="9">
        <v>85.966666666666654</v>
      </c>
      <c r="E2" s="9">
        <v>78.86666666666666</v>
      </c>
      <c r="F2" s="9">
        <v>80.350000000000009</v>
      </c>
      <c r="G2" s="9">
        <v>72.400000000000006</v>
      </c>
      <c r="H2" s="9">
        <v>77.683333333333323</v>
      </c>
      <c r="I2" s="9">
        <v>80.166666666666671</v>
      </c>
      <c r="J2" s="9">
        <v>84.033333333333346</v>
      </c>
      <c r="K2" s="9">
        <v>64.333333333333329</v>
      </c>
      <c r="L2" s="9">
        <v>75.466666666666654</v>
      </c>
      <c r="M2" s="9">
        <v>112.48333333333331</v>
      </c>
      <c r="N2" s="9">
        <v>106.03333333333332</v>
      </c>
      <c r="O2" s="9">
        <v>98.166666666666671</v>
      </c>
      <c r="P2" s="9">
        <v>118.08333333333333</v>
      </c>
      <c r="Q2" s="9">
        <v>146.6</v>
      </c>
      <c r="R2" s="9">
        <v>184.66666666666666</v>
      </c>
      <c r="S2" s="9">
        <v>217</v>
      </c>
      <c r="T2" s="9">
        <v>236.54999999999998</v>
      </c>
      <c r="U2" s="9">
        <v>282.25</v>
      </c>
    </row>
    <row r="3" spans="1:22" x14ac:dyDescent="0.25">
      <c r="A3" s="1" t="s">
        <v>296</v>
      </c>
      <c r="B3" s="9">
        <v>75.100000000000009</v>
      </c>
      <c r="C3" s="9">
        <v>78.7</v>
      </c>
      <c r="D3" s="9">
        <v>84.266666666666666</v>
      </c>
      <c r="E3" s="9">
        <v>75.033333333333331</v>
      </c>
      <c r="F3" s="9">
        <v>77.833333333333329</v>
      </c>
      <c r="G3" s="30">
        <v>69.766666666666666</v>
      </c>
      <c r="H3" s="30">
        <v>76.666666666666671</v>
      </c>
      <c r="I3" s="9">
        <v>78.066666666666677</v>
      </c>
      <c r="J3" s="9">
        <v>80.100000000000009</v>
      </c>
      <c r="K3" s="9">
        <v>61.4</v>
      </c>
      <c r="L3" s="9">
        <v>72.133333333333326</v>
      </c>
      <c r="M3" s="9">
        <v>108.33333333333333</v>
      </c>
      <c r="N3" s="9">
        <v>102.10000000000001</v>
      </c>
      <c r="O3" s="9">
        <v>94.066666666666663</v>
      </c>
      <c r="P3" s="9">
        <v>115.43333333333334</v>
      </c>
      <c r="Q3" s="12">
        <v>143.9</v>
      </c>
      <c r="R3" s="12">
        <v>182</v>
      </c>
      <c r="S3" s="12">
        <v>213.80000000000004</v>
      </c>
      <c r="T3" s="12">
        <v>231.13333333333333</v>
      </c>
      <c r="U3" s="13">
        <v>279.56666666666666</v>
      </c>
    </row>
    <row r="4" spans="1:22" x14ac:dyDescent="0.25">
      <c r="A4" s="1" t="s">
        <v>297</v>
      </c>
      <c r="B4" s="9">
        <v>68.42</v>
      </c>
      <c r="C4" s="9">
        <v>73.760000000000005</v>
      </c>
      <c r="D4" s="9">
        <v>75.52</v>
      </c>
      <c r="E4" s="9">
        <v>69.64</v>
      </c>
      <c r="F4" s="9">
        <v>72.28</v>
      </c>
      <c r="G4" s="30">
        <v>64.7</v>
      </c>
      <c r="H4" s="30">
        <v>70.320000000000007</v>
      </c>
      <c r="I4" s="9">
        <v>73.94</v>
      </c>
      <c r="J4" s="9">
        <v>78.44</v>
      </c>
      <c r="K4" s="9">
        <v>62.840000000000011</v>
      </c>
      <c r="L4" s="9">
        <v>72.600000000000009</v>
      </c>
      <c r="M4" s="9">
        <v>108.74000000000001</v>
      </c>
      <c r="N4" s="9">
        <v>104.84</v>
      </c>
      <c r="O4" s="9">
        <v>95.800000000000011</v>
      </c>
      <c r="P4" s="9">
        <v>113.4</v>
      </c>
      <c r="Q4" s="12">
        <v>140.57999999999998</v>
      </c>
      <c r="R4" s="12">
        <v>179.78</v>
      </c>
      <c r="S4" s="12">
        <v>208.6</v>
      </c>
      <c r="T4" s="12">
        <v>234.3</v>
      </c>
      <c r="U4" s="13">
        <v>273.95999999999992</v>
      </c>
    </row>
    <row r="5" spans="1:22" x14ac:dyDescent="0.25">
      <c r="A5" s="1" t="s">
        <v>298</v>
      </c>
      <c r="B5" s="9">
        <v>68.98571428571428</v>
      </c>
      <c r="C5" s="9">
        <v>77.142857142857139</v>
      </c>
      <c r="D5" s="9">
        <v>79.128571428571448</v>
      </c>
      <c r="E5" s="9">
        <v>73.285714285714292</v>
      </c>
      <c r="F5" s="9">
        <v>76.714285714285708</v>
      </c>
      <c r="G5" s="30">
        <v>67.599999999999994</v>
      </c>
      <c r="H5" s="30">
        <v>71.714285714285708</v>
      </c>
      <c r="I5" s="9">
        <v>73.585714285714289</v>
      </c>
      <c r="J5" s="9">
        <v>82.457142857142841</v>
      </c>
      <c r="K5" s="9">
        <v>64.642857142857139</v>
      </c>
      <c r="L5" s="9">
        <v>72.614285714285714</v>
      </c>
      <c r="M5" s="9">
        <v>108.57142857142857</v>
      </c>
      <c r="N5" s="9">
        <v>104.78571428571431</v>
      </c>
      <c r="O5" s="9">
        <v>95.671428571428578</v>
      </c>
      <c r="P5" s="9">
        <v>111.9</v>
      </c>
      <c r="Q5" s="12">
        <v>139.69999999999999</v>
      </c>
      <c r="R5" s="12">
        <v>179.47142857142853</v>
      </c>
      <c r="S5" s="12">
        <v>209.1142857142857</v>
      </c>
      <c r="T5" s="12">
        <v>236.41428571428574</v>
      </c>
      <c r="U5" s="13">
        <v>270.92857142857144</v>
      </c>
    </row>
    <row r="6" spans="1:22" x14ac:dyDescent="0.25">
      <c r="A6" s="1" t="s">
        <v>299</v>
      </c>
      <c r="B6" s="9">
        <v>72.212499999999991</v>
      </c>
      <c r="C6" s="9">
        <v>79.7</v>
      </c>
      <c r="D6" s="9">
        <v>78.387499999999989</v>
      </c>
      <c r="E6" s="9">
        <v>73.050000000000011</v>
      </c>
      <c r="F6" s="9">
        <v>74.362500000000011</v>
      </c>
      <c r="G6" s="30">
        <v>66.199999999999989</v>
      </c>
      <c r="H6" s="30">
        <v>72.637499999999989</v>
      </c>
      <c r="I6" s="9">
        <v>72.824999999999989</v>
      </c>
      <c r="J6" s="9">
        <v>76.9375</v>
      </c>
      <c r="K6" s="9">
        <v>59.325000000000003</v>
      </c>
      <c r="L6" s="9">
        <v>68.212500000000006</v>
      </c>
      <c r="M6" s="9">
        <v>102.78749999999999</v>
      </c>
      <c r="N6" s="9">
        <v>97.887500000000003</v>
      </c>
      <c r="O6" s="9">
        <v>92.4375</v>
      </c>
      <c r="P6" s="9">
        <v>110.42500000000001</v>
      </c>
      <c r="Q6" s="12">
        <v>139.78749999999999</v>
      </c>
      <c r="R6" s="12">
        <v>181.82499999999999</v>
      </c>
      <c r="S6" s="12">
        <v>210.61250000000001</v>
      </c>
      <c r="T6" s="12">
        <v>229.0625</v>
      </c>
      <c r="U6" s="13">
        <v>277.52499999999998</v>
      </c>
    </row>
    <row r="7" spans="1:22" x14ac:dyDescent="0.25">
      <c r="A7" s="1" t="s">
        <v>300</v>
      </c>
      <c r="B7" s="9">
        <v>70.8</v>
      </c>
      <c r="C7" s="9">
        <v>77.899999999999991</v>
      </c>
      <c r="D7" s="9">
        <v>77.575000000000003</v>
      </c>
      <c r="E7" s="9">
        <v>71.699999999999989</v>
      </c>
      <c r="F7" s="9">
        <v>73.599999999999994</v>
      </c>
      <c r="G7" s="30">
        <v>66.900000000000006</v>
      </c>
      <c r="H7" s="30">
        <v>72.550000000000011</v>
      </c>
      <c r="I7" s="9">
        <v>73.949999999999989</v>
      </c>
      <c r="J7" s="9">
        <v>78.2</v>
      </c>
      <c r="K7" s="9">
        <v>60.775000000000006</v>
      </c>
      <c r="L7" s="9">
        <v>69.349999999999994</v>
      </c>
      <c r="M7" s="9">
        <v>102.97500000000001</v>
      </c>
      <c r="N7" s="9">
        <v>98.1</v>
      </c>
      <c r="O7" s="9">
        <v>92.5</v>
      </c>
      <c r="P7" s="9">
        <v>109.15</v>
      </c>
      <c r="Q7" s="12">
        <v>138.42500000000001</v>
      </c>
      <c r="R7" s="12">
        <v>180.65</v>
      </c>
      <c r="S7" s="12">
        <v>207.875</v>
      </c>
      <c r="T7" s="12">
        <v>228.60000000000002</v>
      </c>
      <c r="U7" s="13">
        <v>274.77499999999998</v>
      </c>
    </row>
    <row r="8" spans="1:22" x14ac:dyDescent="0.25">
      <c r="A8" s="1" t="s">
        <v>301</v>
      </c>
      <c r="B8" s="9">
        <v>67.375</v>
      </c>
      <c r="C8" s="9">
        <v>75.275000000000006</v>
      </c>
      <c r="D8" s="9">
        <v>76.650000000000006</v>
      </c>
      <c r="E8" s="9">
        <v>71.400000000000006</v>
      </c>
      <c r="F8" s="9">
        <v>73.599999999999994</v>
      </c>
      <c r="G8" s="30">
        <v>63.774999999999999</v>
      </c>
      <c r="H8" s="30">
        <v>70.375</v>
      </c>
      <c r="I8" s="9">
        <v>69.925000000000011</v>
      </c>
      <c r="J8" s="9">
        <v>75.375</v>
      </c>
      <c r="K8" s="9">
        <v>58.374999999999993</v>
      </c>
      <c r="L8" s="9">
        <v>66.875</v>
      </c>
      <c r="M8" s="9">
        <v>100.17500000000001</v>
      </c>
      <c r="N8" s="9">
        <v>95</v>
      </c>
      <c r="O8" s="9">
        <v>89.5</v>
      </c>
      <c r="P8" s="9">
        <v>105.875</v>
      </c>
      <c r="Q8" s="12">
        <v>134.25</v>
      </c>
      <c r="R8" s="12">
        <v>176.97500000000002</v>
      </c>
      <c r="S8" s="12">
        <v>205.97499999999997</v>
      </c>
      <c r="T8" s="12">
        <v>230.35</v>
      </c>
      <c r="U8" s="13">
        <v>271.77499999999998</v>
      </c>
    </row>
    <row r="9" spans="1:22" x14ac:dyDescent="0.25">
      <c r="A9" s="1" t="s">
        <v>302</v>
      </c>
      <c r="B9" s="9">
        <v>69.474999999999994</v>
      </c>
      <c r="C9" s="9">
        <v>75.537500000000009</v>
      </c>
      <c r="D9" s="9">
        <v>75.362500000000011</v>
      </c>
      <c r="E9" s="9">
        <v>73.899999999999991</v>
      </c>
      <c r="F9" s="9">
        <v>79.837499999999991</v>
      </c>
      <c r="G9" s="30">
        <v>72.237500000000011</v>
      </c>
      <c r="H9" s="30">
        <v>77.337499999999991</v>
      </c>
      <c r="I9" s="9">
        <v>79.174999999999983</v>
      </c>
      <c r="J9" s="9">
        <v>88.899999999999991</v>
      </c>
      <c r="K9" s="9">
        <v>70.437499999999986</v>
      </c>
      <c r="L9" s="9">
        <v>82.337499999999991</v>
      </c>
      <c r="M9" s="9">
        <v>111.91250000000001</v>
      </c>
      <c r="N9" s="9">
        <v>108.04999999999998</v>
      </c>
      <c r="O9" s="9">
        <v>97.962500000000006</v>
      </c>
      <c r="P9" s="9">
        <v>120.64999999999999</v>
      </c>
      <c r="Q9" s="12">
        <v>147.57499999999999</v>
      </c>
      <c r="R9" s="12">
        <v>187.98749999999998</v>
      </c>
      <c r="S9" s="12">
        <v>216.11250000000001</v>
      </c>
      <c r="T9" s="12">
        <v>239.23749999999998</v>
      </c>
      <c r="U9" s="13">
        <v>280.42499999999995</v>
      </c>
    </row>
    <row r="10" spans="1:22" x14ac:dyDescent="0.25">
      <c r="A10" s="1" t="s">
        <v>303</v>
      </c>
      <c r="B10" s="9">
        <v>78.7</v>
      </c>
      <c r="C10" s="9">
        <v>85.62</v>
      </c>
      <c r="D10" s="9">
        <v>84.259999999999991</v>
      </c>
      <c r="E10" s="9">
        <v>85.98</v>
      </c>
      <c r="F10" s="9">
        <v>90.02000000000001</v>
      </c>
      <c r="G10" s="30">
        <v>86.940000000000012</v>
      </c>
      <c r="H10" s="30">
        <v>90.12</v>
      </c>
      <c r="I10" s="9">
        <v>91.58</v>
      </c>
      <c r="J10" s="9">
        <v>98.2</v>
      </c>
      <c r="K10" s="9">
        <v>81.819999999999993</v>
      </c>
      <c r="L10" s="9">
        <v>91.54</v>
      </c>
      <c r="M10" s="9">
        <v>121.88</v>
      </c>
      <c r="N10" s="9">
        <v>124.42</v>
      </c>
      <c r="O10" s="9">
        <v>109.17999999999999</v>
      </c>
      <c r="P10" s="9">
        <v>136.85999999999999</v>
      </c>
      <c r="Q10" s="12">
        <v>160.78000000000003</v>
      </c>
      <c r="R10" s="12">
        <v>200.1</v>
      </c>
      <c r="S10" s="12">
        <v>232.61999999999998</v>
      </c>
      <c r="T10" s="12">
        <v>250.4</v>
      </c>
      <c r="U10" s="13">
        <v>304.96000000000004</v>
      </c>
    </row>
    <row r="12" spans="1:22" x14ac:dyDescent="0.25">
      <c r="A12" s="1" t="s">
        <v>350</v>
      </c>
    </row>
    <row r="13" spans="1:22" x14ac:dyDescent="0.25">
      <c r="A13" s="1" t="s">
        <v>295</v>
      </c>
      <c r="B13" s="31">
        <f>(U2-B2)/B2</f>
        <v>2.5362288577991228</v>
      </c>
    </row>
    <row r="14" spans="1:22" x14ac:dyDescent="0.25">
      <c r="A14" s="1" t="s">
        <v>296</v>
      </c>
      <c r="B14" s="31">
        <f t="shared" ref="B14:B21" si="0">(U3-B3)/B3</f>
        <v>2.7225920994229909</v>
      </c>
    </row>
    <row r="15" spans="1:22" x14ac:dyDescent="0.25">
      <c r="A15" s="1" t="s">
        <v>297</v>
      </c>
      <c r="B15" s="31">
        <f t="shared" si="0"/>
        <v>3.0040923706518545</v>
      </c>
    </row>
    <row r="16" spans="1:22" x14ac:dyDescent="0.25">
      <c r="A16" s="1" t="s">
        <v>298</v>
      </c>
      <c r="B16" s="31">
        <f t="shared" si="0"/>
        <v>2.9273141437150558</v>
      </c>
    </row>
    <row r="17" spans="1:2" x14ac:dyDescent="0.25">
      <c r="A17" s="1" t="s">
        <v>299</v>
      </c>
      <c r="B17" s="31">
        <f t="shared" si="0"/>
        <v>2.8431711961225554</v>
      </c>
    </row>
    <row r="18" spans="1:2" x14ac:dyDescent="0.25">
      <c r="A18" s="1" t="s">
        <v>300</v>
      </c>
      <c r="B18" s="31">
        <f t="shared" si="0"/>
        <v>2.8810028248587569</v>
      </c>
    </row>
    <row r="19" spans="1:2" x14ac:dyDescent="0.25">
      <c r="A19" s="1" t="s">
        <v>301</v>
      </c>
      <c r="B19" s="31">
        <f t="shared" si="0"/>
        <v>3.0337662337662334</v>
      </c>
    </row>
    <row r="20" spans="1:2" x14ac:dyDescent="0.25">
      <c r="A20" s="1" t="s">
        <v>302</v>
      </c>
      <c r="B20" s="31">
        <f t="shared" si="0"/>
        <v>3.0363440086361999</v>
      </c>
    </row>
    <row r="21" spans="1:2" x14ac:dyDescent="0.25">
      <c r="A21" s="1" t="s">
        <v>303</v>
      </c>
      <c r="B21" s="31">
        <f t="shared" si="0"/>
        <v>2.8749682337992382</v>
      </c>
    </row>
  </sheetData>
  <pageMargins left="0.75" right="0.75" top="1" bottom="1" header="0.5" footer="0.5"/>
  <pageSetup scale="74" orientation="portrait"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4"/>
  <sheetViews>
    <sheetView workbookViewId="0"/>
  </sheetViews>
  <sheetFormatPr defaultColWidth="30.7109375" defaultRowHeight="15" x14ac:dyDescent="0.25"/>
  <cols>
    <col min="1" max="1" width="30.7109375" style="16"/>
    <col min="2" max="16384" width="30.7109375" style="15"/>
  </cols>
  <sheetData>
    <row r="1" spans="1:20" x14ac:dyDescent="0.25">
      <c r="A1" s="16" t="s">
        <v>123</v>
      </c>
      <c r="B1" s="15" t="s">
        <v>349</v>
      </c>
      <c r="C1" s="15" t="s">
        <v>114</v>
      </c>
      <c r="D1" s="15">
        <v>5</v>
      </c>
      <c r="E1" s="15" t="s">
        <v>115</v>
      </c>
      <c r="F1" s="15">
        <v>5</v>
      </c>
      <c r="G1" s="15" t="s">
        <v>116</v>
      </c>
      <c r="H1" s="15">
        <v>0</v>
      </c>
      <c r="I1" s="15" t="s">
        <v>117</v>
      </c>
      <c r="J1" s="15">
        <v>1</v>
      </c>
      <c r="K1" s="15" t="s">
        <v>118</v>
      </c>
      <c r="L1" s="15">
        <v>0</v>
      </c>
      <c r="M1" s="15" t="s">
        <v>119</v>
      </c>
      <c r="N1" s="15">
        <v>0</v>
      </c>
      <c r="O1" s="15" t="s">
        <v>120</v>
      </c>
      <c r="P1" s="15">
        <v>1</v>
      </c>
      <c r="Q1" s="15" t="s">
        <v>121</v>
      </c>
      <c r="R1" s="15">
        <v>0</v>
      </c>
      <c r="S1" s="15" t="s">
        <v>122</v>
      </c>
      <c r="T1" s="15">
        <v>0</v>
      </c>
    </row>
    <row r="2" spans="1:20" x14ac:dyDescent="0.25">
      <c r="A2" s="16" t="s">
        <v>124</v>
      </c>
      <c r="B2" s="15" t="s">
        <v>125</v>
      </c>
    </row>
    <row r="3" spans="1:20" x14ac:dyDescent="0.25">
      <c r="A3" s="16" t="s">
        <v>126</v>
      </c>
      <c r="B3" s="15" t="b">
        <f>IF(B10&gt;256,"TripUpST110AndEarlier",FALSE)</f>
        <v>0</v>
      </c>
    </row>
    <row r="4" spans="1:20" x14ac:dyDescent="0.25">
      <c r="A4" s="16" t="s">
        <v>127</v>
      </c>
      <c r="B4" s="15" t="s">
        <v>128</v>
      </c>
    </row>
    <row r="5" spans="1:20" x14ac:dyDescent="0.25">
      <c r="A5" s="16" t="s">
        <v>129</v>
      </c>
      <c r="B5" s="15" t="b">
        <v>1</v>
      </c>
    </row>
    <row r="6" spans="1:20" x14ac:dyDescent="0.25">
      <c r="A6" s="16" t="s">
        <v>130</v>
      </c>
      <c r="B6" s="15" t="b">
        <v>1</v>
      </c>
    </row>
    <row r="7" spans="1:20" x14ac:dyDescent="0.25">
      <c r="A7" s="16" t="s">
        <v>131</v>
      </c>
      <c r="B7" s="15">
        <f>'State Data'!$A$1:$U$51</f>
        <v>82.8</v>
      </c>
    </row>
    <row r="8" spans="1:20" x14ac:dyDescent="0.25">
      <c r="A8" s="16" t="s">
        <v>132</v>
      </c>
      <c r="B8" s="15">
        <v>1</v>
      </c>
    </row>
    <row r="9" spans="1:20" x14ac:dyDescent="0.25">
      <c r="A9" s="16" t="s">
        <v>133</v>
      </c>
      <c r="B9" s="15">
        <f>1</f>
        <v>1</v>
      </c>
    </row>
    <row r="10" spans="1:20" x14ac:dyDescent="0.25">
      <c r="A10" s="16" t="s">
        <v>134</v>
      </c>
      <c r="B10" s="15">
        <v>21</v>
      </c>
    </row>
    <row r="12" spans="1:20" x14ac:dyDescent="0.25">
      <c r="A12" s="16" t="s">
        <v>135</v>
      </c>
      <c r="B12" s="15" t="s">
        <v>136</v>
      </c>
      <c r="C12" s="15" t="s">
        <v>137</v>
      </c>
      <c r="D12" s="15" t="s">
        <v>138</v>
      </c>
      <c r="E12" s="15" t="b">
        <v>1</v>
      </c>
      <c r="F12" s="15">
        <v>0</v>
      </c>
      <c r="G12" s="15">
        <v>4</v>
      </c>
    </row>
    <row r="13" spans="1:20" x14ac:dyDescent="0.25">
      <c r="A13" s="16" t="s">
        <v>139</v>
      </c>
      <c r="B13" s="15" t="str">
        <f>'State Data'!$A$1:$A$51</f>
        <v>Illinois</v>
      </c>
    </row>
    <row r="14" spans="1:20" x14ac:dyDescent="0.25">
      <c r="A14" s="16" t="s">
        <v>140</v>
      </c>
    </row>
    <row r="15" spans="1:20" x14ac:dyDescent="0.25">
      <c r="A15" s="16" t="s">
        <v>141</v>
      </c>
      <c r="B15" s="15" t="s">
        <v>142</v>
      </c>
      <c r="C15" s="15" t="s">
        <v>143</v>
      </c>
      <c r="D15" s="15" t="s">
        <v>144</v>
      </c>
      <c r="E15" s="15" t="b">
        <v>1</v>
      </c>
      <c r="F15" s="15">
        <v>0</v>
      </c>
      <c r="G15" s="15">
        <v>4</v>
      </c>
    </row>
    <row r="16" spans="1:20" x14ac:dyDescent="0.25">
      <c r="A16" s="16" t="s">
        <v>145</v>
      </c>
      <c r="B16" s="15">
        <f>'State Data'!$B$1:$B$51</f>
        <v>69.5</v>
      </c>
    </row>
    <row r="17" spans="1:7" x14ac:dyDescent="0.25">
      <c r="A17" s="16" t="s">
        <v>146</v>
      </c>
    </row>
    <row r="18" spans="1:7" x14ac:dyDescent="0.25">
      <c r="A18" s="16" t="s">
        <v>147</v>
      </c>
      <c r="B18" s="15" t="s">
        <v>148</v>
      </c>
      <c r="C18" s="15" t="s">
        <v>149</v>
      </c>
      <c r="D18" s="15" t="s">
        <v>150</v>
      </c>
      <c r="E18" s="15" t="b">
        <v>1</v>
      </c>
      <c r="F18" s="15">
        <v>0</v>
      </c>
      <c r="G18" s="15">
        <v>4</v>
      </c>
    </row>
    <row r="19" spans="1:7" x14ac:dyDescent="0.25">
      <c r="A19" s="16" t="s">
        <v>151</v>
      </c>
      <c r="B19" s="15">
        <f>'State Data'!$C$1:$C$51</f>
        <v>85.3</v>
      </c>
    </row>
    <row r="20" spans="1:7" x14ac:dyDescent="0.25">
      <c r="A20" s="16" t="s">
        <v>152</v>
      </c>
    </row>
    <row r="21" spans="1:7" x14ac:dyDescent="0.25">
      <c r="A21" s="16" t="s">
        <v>153</v>
      </c>
      <c r="B21" s="15" t="s">
        <v>154</v>
      </c>
      <c r="C21" s="15" t="s">
        <v>155</v>
      </c>
      <c r="D21" s="15" t="s">
        <v>156</v>
      </c>
      <c r="E21" s="15" t="b">
        <v>1</v>
      </c>
      <c r="F21" s="15">
        <v>0</v>
      </c>
      <c r="G21" s="15">
        <v>4</v>
      </c>
    </row>
    <row r="22" spans="1:7" x14ac:dyDescent="0.25">
      <c r="A22" s="16" t="s">
        <v>157</v>
      </c>
      <c r="B22" s="15">
        <f>'State Data'!$D$1:$D$51</f>
        <v>76.2</v>
      </c>
    </row>
    <row r="23" spans="1:7" x14ac:dyDescent="0.25">
      <c r="A23" s="16" t="s">
        <v>158</v>
      </c>
    </row>
    <row r="24" spans="1:7" x14ac:dyDescent="0.25">
      <c r="A24" s="16" t="s">
        <v>159</v>
      </c>
      <c r="B24" s="15" t="s">
        <v>160</v>
      </c>
      <c r="C24" s="15" t="s">
        <v>161</v>
      </c>
      <c r="D24" s="15" t="s">
        <v>162</v>
      </c>
      <c r="E24" s="15" t="b">
        <v>1</v>
      </c>
      <c r="F24" s="15">
        <v>0</v>
      </c>
      <c r="G24" s="15">
        <v>4</v>
      </c>
    </row>
    <row r="25" spans="1:7" x14ac:dyDescent="0.25">
      <c r="A25" s="16" t="s">
        <v>163</v>
      </c>
      <c r="B25" s="15">
        <f>'State Data'!$E$1:$E$51</f>
        <v>73.3</v>
      </c>
    </row>
    <row r="26" spans="1:7" x14ac:dyDescent="0.25">
      <c r="A26" s="16" t="s">
        <v>164</v>
      </c>
    </row>
    <row r="27" spans="1:7" x14ac:dyDescent="0.25">
      <c r="A27" s="16" t="s">
        <v>165</v>
      </c>
      <c r="B27" s="15" t="s">
        <v>166</v>
      </c>
      <c r="C27" s="15" t="s">
        <v>167</v>
      </c>
      <c r="D27" s="15" t="s">
        <v>168</v>
      </c>
      <c r="E27" s="15" t="b">
        <v>1</v>
      </c>
      <c r="F27" s="15">
        <v>0</v>
      </c>
      <c r="G27" s="15">
        <v>4</v>
      </c>
    </row>
    <row r="28" spans="1:7" x14ac:dyDescent="0.25">
      <c r="A28" s="16" t="s">
        <v>169</v>
      </c>
      <c r="B28" s="15">
        <f>'State Data'!$F$1:$F$51</f>
        <v>69.8</v>
      </c>
    </row>
    <row r="29" spans="1:7" x14ac:dyDescent="0.25">
      <c r="A29" s="16" t="s">
        <v>170</v>
      </c>
    </row>
    <row r="30" spans="1:7" x14ac:dyDescent="0.25">
      <c r="A30" s="16" t="s">
        <v>171</v>
      </c>
      <c r="B30" s="15" t="s">
        <v>172</v>
      </c>
      <c r="C30" s="15" t="s">
        <v>173</v>
      </c>
      <c r="D30" s="15" t="s">
        <v>174</v>
      </c>
      <c r="E30" s="15" t="b">
        <v>1</v>
      </c>
      <c r="F30" s="15">
        <v>0</v>
      </c>
      <c r="G30" s="15">
        <v>4</v>
      </c>
    </row>
    <row r="31" spans="1:7" x14ac:dyDescent="0.25">
      <c r="A31" s="16" t="s">
        <v>175</v>
      </c>
      <c r="B31" s="15">
        <f>'State Data'!$G$1:$G$51</f>
        <v>68.900000000000006</v>
      </c>
    </row>
    <row r="32" spans="1:7" x14ac:dyDescent="0.25">
      <c r="A32" s="16" t="s">
        <v>176</v>
      </c>
    </row>
    <row r="33" spans="1:7" x14ac:dyDescent="0.25">
      <c r="A33" s="16" t="s">
        <v>177</v>
      </c>
      <c r="B33" s="15" t="s">
        <v>178</v>
      </c>
      <c r="C33" s="15" t="s">
        <v>179</v>
      </c>
      <c r="D33" s="15" t="s">
        <v>180</v>
      </c>
      <c r="E33" s="15" t="b">
        <v>1</v>
      </c>
      <c r="F33" s="15">
        <v>0</v>
      </c>
      <c r="G33" s="15">
        <v>4</v>
      </c>
    </row>
    <row r="34" spans="1:7" x14ac:dyDescent="0.25">
      <c r="A34" s="16" t="s">
        <v>181</v>
      </c>
      <c r="B34" s="15">
        <f>'State Data'!$H$1:$H$51</f>
        <v>74.099999999999994</v>
      </c>
    </row>
    <row r="35" spans="1:7" x14ac:dyDescent="0.25">
      <c r="A35" s="16" t="s">
        <v>182</v>
      </c>
    </row>
    <row r="36" spans="1:7" x14ac:dyDescent="0.25">
      <c r="A36" s="16" t="s">
        <v>183</v>
      </c>
      <c r="B36" s="15" t="s">
        <v>184</v>
      </c>
      <c r="C36" s="15" t="s">
        <v>185</v>
      </c>
      <c r="D36" s="15" t="s">
        <v>186</v>
      </c>
      <c r="E36" s="15" t="b">
        <v>1</v>
      </c>
      <c r="F36" s="15">
        <v>0</v>
      </c>
      <c r="G36" s="15">
        <v>4</v>
      </c>
    </row>
    <row r="37" spans="1:7" x14ac:dyDescent="0.25">
      <c r="A37" s="16" t="s">
        <v>187</v>
      </c>
      <c r="B37" s="15">
        <f>'State Data'!$I$1:$I$51</f>
        <v>67</v>
      </c>
    </row>
    <row r="38" spans="1:7" x14ac:dyDescent="0.25">
      <c r="A38" s="16" t="s">
        <v>188</v>
      </c>
    </row>
    <row r="39" spans="1:7" x14ac:dyDescent="0.25">
      <c r="A39" s="16" t="s">
        <v>189</v>
      </c>
      <c r="B39" s="15" t="s">
        <v>190</v>
      </c>
      <c r="C39" s="15" t="s">
        <v>191</v>
      </c>
      <c r="D39" s="15" t="s">
        <v>192</v>
      </c>
      <c r="E39" s="15" t="b">
        <v>1</v>
      </c>
      <c r="F39" s="15">
        <v>0</v>
      </c>
      <c r="G39" s="15">
        <v>4</v>
      </c>
    </row>
    <row r="40" spans="1:7" x14ac:dyDescent="0.25">
      <c r="A40" s="16" t="s">
        <v>193</v>
      </c>
      <c r="B40" s="15">
        <f>'State Data'!$J$1:$J$51</f>
        <v>88.4</v>
      </c>
    </row>
    <row r="41" spans="1:7" x14ac:dyDescent="0.25">
      <c r="A41" s="16" t="s">
        <v>194</v>
      </c>
    </row>
    <row r="42" spans="1:7" x14ac:dyDescent="0.25">
      <c r="A42" s="16" t="s">
        <v>195</v>
      </c>
      <c r="B42" s="15" t="s">
        <v>196</v>
      </c>
      <c r="C42" s="15" t="s">
        <v>197</v>
      </c>
      <c r="D42" s="15" t="s">
        <v>198</v>
      </c>
      <c r="E42" s="15" t="b">
        <v>1</v>
      </c>
      <c r="F42" s="15">
        <v>0</v>
      </c>
      <c r="G42" s="15">
        <v>4</v>
      </c>
    </row>
    <row r="43" spans="1:7" x14ac:dyDescent="0.25">
      <c r="A43" s="16" t="s">
        <v>199</v>
      </c>
      <c r="B43" s="15">
        <f>'State Data'!$K$1:$K$51</f>
        <v>67.5</v>
      </c>
    </row>
    <row r="44" spans="1:7" x14ac:dyDescent="0.25">
      <c r="A44" s="16" t="s">
        <v>200</v>
      </c>
    </row>
    <row r="45" spans="1:7" x14ac:dyDescent="0.25">
      <c r="A45" s="16" t="s">
        <v>201</v>
      </c>
      <c r="B45" s="15" t="s">
        <v>202</v>
      </c>
      <c r="C45" s="15" t="s">
        <v>203</v>
      </c>
      <c r="D45" s="15" t="s">
        <v>204</v>
      </c>
      <c r="E45" s="15" t="b">
        <v>1</v>
      </c>
      <c r="F45" s="15">
        <v>0</v>
      </c>
      <c r="G45" s="15">
        <v>4</v>
      </c>
    </row>
    <row r="46" spans="1:7" x14ac:dyDescent="0.25">
      <c r="A46" s="16" t="s">
        <v>205</v>
      </c>
      <c r="B46" s="15">
        <f>'State Data'!$L$1:$L$51</f>
        <v>93.3</v>
      </c>
    </row>
    <row r="47" spans="1:7" x14ac:dyDescent="0.25">
      <c r="A47" s="16" t="s">
        <v>206</v>
      </c>
    </row>
    <row r="48" spans="1:7" x14ac:dyDescent="0.25">
      <c r="A48" s="16" t="s">
        <v>207</v>
      </c>
      <c r="B48" s="15" t="s">
        <v>208</v>
      </c>
      <c r="C48" s="15" t="s">
        <v>209</v>
      </c>
      <c r="D48" s="15" t="s">
        <v>210</v>
      </c>
      <c r="E48" s="15" t="b">
        <v>1</v>
      </c>
      <c r="F48" s="15">
        <v>0</v>
      </c>
      <c r="G48" s="15">
        <v>4</v>
      </c>
    </row>
    <row r="49" spans="1:7" x14ac:dyDescent="0.25">
      <c r="A49" s="16" t="s">
        <v>211</v>
      </c>
      <c r="B49" s="15">
        <f>'State Data'!$M$1:$M$51</f>
        <v>115.5</v>
      </c>
    </row>
    <row r="50" spans="1:7" x14ac:dyDescent="0.25">
      <c r="A50" s="16" t="s">
        <v>212</v>
      </c>
    </row>
    <row r="51" spans="1:7" x14ac:dyDescent="0.25">
      <c r="A51" s="16" t="s">
        <v>213</v>
      </c>
      <c r="B51" s="15" t="s">
        <v>214</v>
      </c>
      <c r="C51" s="15" t="s">
        <v>215</v>
      </c>
      <c r="D51" s="15" t="s">
        <v>216</v>
      </c>
      <c r="E51" s="15" t="b">
        <v>1</v>
      </c>
      <c r="F51" s="15">
        <v>0</v>
      </c>
      <c r="G51" s="15">
        <v>4</v>
      </c>
    </row>
    <row r="52" spans="1:7" x14ac:dyDescent="0.25">
      <c r="A52" s="16" t="s">
        <v>217</v>
      </c>
      <c r="B52" s="15" t="e">
        <f>'State Data'!$N$1:$N$51</f>
        <v>#VALUE!</v>
      </c>
    </row>
    <row r="53" spans="1:7" x14ac:dyDescent="0.25">
      <c r="A53" s="16" t="s">
        <v>218</v>
      </c>
    </row>
    <row r="54" spans="1:7" x14ac:dyDescent="0.25">
      <c r="A54" s="16" t="s">
        <v>219</v>
      </c>
      <c r="B54" s="15" t="s">
        <v>220</v>
      </c>
      <c r="C54" s="15" t="s">
        <v>221</v>
      </c>
      <c r="D54" s="15" t="s">
        <v>222</v>
      </c>
      <c r="E54" s="15" t="b">
        <v>1</v>
      </c>
      <c r="F54" s="15">
        <v>0</v>
      </c>
      <c r="G54" s="15">
        <v>4</v>
      </c>
    </row>
    <row r="55" spans="1:7" x14ac:dyDescent="0.25">
      <c r="A55" s="16" t="s">
        <v>223</v>
      </c>
      <c r="B55" s="15" t="e">
        <f>'State Data'!$O$1:$O$51</f>
        <v>#VALUE!</v>
      </c>
    </row>
    <row r="56" spans="1:7" x14ac:dyDescent="0.25">
      <c r="A56" s="16" t="s">
        <v>224</v>
      </c>
    </row>
    <row r="57" spans="1:7" x14ac:dyDescent="0.25">
      <c r="A57" s="16" t="s">
        <v>225</v>
      </c>
      <c r="B57" s="15" t="s">
        <v>226</v>
      </c>
      <c r="C57" s="15" t="s">
        <v>227</v>
      </c>
      <c r="D57" s="15" t="s">
        <v>228</v>
      </c>
      <c r="E57" s="15" t="b">
        <v>1</v>
      </c>
      <c r="F57" s="15">
        <v>0</v>
      </c>
      <c r="G57" s="15">
        <v>4</v>
      </c>
    </row>
    <row r="58" spans="1:7" x14ac:dyDescent="0.25">
      <c r="A58" s="16" t="s">
        <v>229</v>
      </c>
      <c r="B58" s="15" t="e">
        <f>'State Data'!$P$1:$P$51</f>
        <v>#VALUE!</v>
      </c>
    </row>
    <row r="59" spans="1:7" x14ac:dyDescent="0.25">
      <c r="A59" s="16" t="s">
        <v>230</v>
      </c>
    </row>
    <row r="60" spans="1:7" x14ac:dyDescent="0.25">
      <c r="A60" s="16" t="s">
        <v>231</v>
      </c>
      <c r="B60" s="15" t="s">
        <v>232</v>
      </c>
      <c r="C60" s="15" t="s">
        <v>233</v>
      </c>
      <c r="D60" s="15" t="s">
        <v>234</v>
      </c>
      <c r="E60" s="15" t="b">
        <v>1</v>
      </c>
      <c r="F60" s="15">
        <v>0</v>
      </c>
      <c r="G60" s="15">
        <v>4</v>
      </c>
    </row>
    <row r="61" spans="1:7" x14ac:dyDescent="0.25">
      <c r="A61" s="16" t="s">
        <v>235</v>
      </c>
      <c r="B61" s="15" t="e">
        <f>'State Data'!$Q$1:$Q$51</f>
        <v>#VALUE!</v>
      </c>
    </row>
    <row r="62" spans="1:7" x14ac:dyDescent="0.25">
      <c r="A62" s="16" t="s">
        <v>236</v>
      </c>
    </row>
    <row r="63" spans="1:7" x14ac:dyDescent="0.25">
      <c r="A63" s="16" t="s">
        <v>237</v>
      </c>
      <c r="B63" s="15" t="s">
        <v>238</v>
      </c>
      <c r="C63" s="15" t="s">
        <v>239</v>
      </c>
      <c r="D63" s="15" t="s">
        <v>240</v>
      </c>
      <c r="E63" s="15" t="b">
        <v>1</v>
      </c>
      <c r="F63" s="15">
        <v>0</v>
      </c>
      <c r="G63" s="15">
        <v>4</v>
      </c>
    </row>
    <row r="64" spans="1:7" x14ac:dyDescent="0.25">
      <c r="A64" s="16" t="s">
        <v>241</v>
      </c>
      <c r="B64" s="15" t="e">
        <f>'State Data'!$R$1:$R$51</f>
        <v>#VALUE!</v>
      </c>
    </row>
    <row r="65" spans="1:7" x14ac:dyDescent="0.25">
      <c r="A65" s="16" t="s">
        <v>242</v>
      </c>
    </row>
    <row r="66" spans="1:7" x14ac:dyDescent="0.25">
      <c r="A66" s="16" t="s">
        <v>243</v>
      </c>
      <c r="B66" s="15" t="s">
        <v>244</v>
      </c>
      <c r="C66" s="15" t="s">
        <v>245</v>
      </c>
      <c r="D66" s="15" t="s">
        <v>246</v>
      </c>
      <c r="E66" s="15" t="b">
        <v>1</v>
      </c>
      <c r="F66" s="15">
        <v>0</v>
      </c>
      <c r="G66" s="15">
        <v>4</v>
      </c>
    </row>
    <row r="67" spans="1:7" x14ac:dyDescent="0.25">
      <c r="A67" s="16" t="s">
        <v>247</v>
      </c>
      <c r="B67" s="15" t="e">
        <f>'State Data'!$S$1:$S$51</f>
        <v>#VALUE!</v>
      </c>
    </row>
    <row r="68" spans="1:7" x14ac:dyDescent="0.25">
      <c r="A68" s="16" t="s">
        <v>248</v>
      </c>
    </row>
    <row r="69" spans="1:7" x14ac:dyDescent="0.25">
      <c r="A69" s="16" t="s">
        <v>249</v>
      </c>
      <c r="B69" s="15" t="s">
        <v>250</v>
      </c>
      <c r="C69" s="15" t="s">
        <v>251</v>
      </c>
      <c r="D69" s="15" t="s">
        <v>252</v>
      </c>
      <c r="E69" s="15" t="b">
        <v>1</v>
      </c>
      <c r="F69" s="15">
        <v>0</v>
      </c>
      <c r="G69" s="15">
        <v>4</v>
      </c>
    </row>
    <row r="70" spans="1:7" x14ac:dyDescent="0.25">
      <c r="A70" s="16" t="s">
        <v>253</v>
      </c>
      <c r="B70" s="15" t="e">
        <f>'State Data'!$T$1:$T$51</f>
        <v>#VALUE!</v>
      </c>
    </row>
    <row r="71" spans="1:7" x14ac:dyDescent="0.25">
      <c r="A71" s="16" t="s">
        <v>254</v>
      </c>
    </row>
    <row r="72" spans="1:7" x14ac:dyDescent="0.25">
      <c r="A72" s="16" t="s">
        <v>255</v>
      </c>
      <c r="B72" s="15" t="s">
        <v>256</v>
      </c>
      <c r="C72" s="15" t="s">
        <v>257</v>
      </c>
      <c r="D72" s="15" t="s">
        <v>258</v>
      </c>
      <c r="E72" s="15" t="b">
        <v>1</v>
      </c>
      <c r="F72" s="15">
        <v>0</v>
      </c>
      <c r="G72" s="15">
        <v>4</v>
      </c>
    </row>
    <row r="73" spans="1:7" x14ac:dyDescent="0.25">
      <c r="A73" s="16" t="s">
        <v>259</v>
      </c>
      <c r="B73" s="15" t="e">
        <f>'State Data'!$U$1:$U$51</f>
        <v>#VALUE!</v>
      </c>
    </row>
    <row r="74" spans="1:7" x14ac:dyDescent="0.25">
      <c r="A74" s="16" t="s">
        <v>260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4"/>
  <sheetViews>
    <sheetView workbookViewId="0"/>
  </sheetViews>
  <sheetFormatPr defaultColWidth="30.7109375" defaultRowHeight="15" x14ac:dyDescent="0.25"/>
  <cols>
    <col min="1" max="1" width="30.7109375" style="16"/>
    <col min="2" max="16384" width="30.7109375" style="15"/>
  </cols>
  <sheetData>
    <row r="1" spans="1:20" x14ac:dyDescent="0.25">
      <c r="A1" s="16" t="s">
        <v>123</v>
      </c>
      <c r="B1" s="15" t="s">
        <v>305</v>
      </c>
      <c r="C1" s="15" t="s">
        <v>114</v>
      </c>
      <c r="D1" s="15">
        <v>5</v>
      </c>
      <c r="E1" s="15" t="s">
        <v>115</v>
      </c>
      <c r="F1" s="15">
        <v>5</v>
      </c>
      <c r="G1" s="15" t="s">
        <v>116</v>
      </c>
      <c r="H1" s="15">
        <v>0</v>
      </c>
      <c r="I1" s="15" t="s">
        <v>117</v>
      </c>
      <c r="J1" s="15">
        <v>1</v>
      </c>
      <c r="K1" s="15" t="s">
        <v>118</v>
      </c>
      <c r="L1" s="15">
        <v>0</v>
      </c>
      <c r="M1" s="15" t="s">
        <v>119</v>
      </c>
      <c r="N1" s="15">
        <v>0</v>
      </c>
      <c r="O1" s="15" t="s">
        <v>120</v>
      </c>
      <c r="P1" s="15">
        <v>1</v>
      </c>
      <c r="Q1" s="15" t="s">
        <v>121</v>
      </c>
      <c r="R1" s="15">
        <v>0</v>
      </c>
      <c r="S1" s="15" t="s">
        <v>122</v>
      </c>
      <c r="T1" s="15">
        <v>0</v>
      </c>
    </row>
    <row r="2" spans="1:20" x14ac:dyDescent="0.25">
      <c r="A2" s="16" t="s">
        <v>124</v>
      </c>
      <c r="B2" s="15" t="s">
        <v>306</v>
      </c>
    </row>
    <row r="3" spans="1:20" x14ac:dyDescent="0.25">
      <c r="A3" s="16" t="s">
        <v>126</v>
      </c>
      <c r="B3" s="15" t="b">
        <f>IF(B10&gt;256,"TripUpST110AndEarlier",FALSE)</f>
        <v>0</v>
      </c>
    </row>
    <row r="4" spans="1:20" x14ac:dyDescent="0.25">
      <c r="A4" s="16" t="s">
        <v>127</v>
      </c>
      <c r="B4" s="15" t="s">
        <v>128</v>
      </c>
    </row>
    <row r="5" spans="1:20" x14ac:dyDescent="0.25">
      <c r="A5" s="16" t="s">
        <v>129</v>
      </c>
      <c r="B5" s="15" t="b">
        <v>1</v>
      </c>
    </row>
    <row r="6" spans="1:20" x14ac:dyDescent="0.25">
      <c r="A6" s="16" t="s">
        <v>130</v>
      </c>
      <c r="B6" s="15" t="b">
        <v>1</v>
      </c>
    </row>
    <row r="7" spans="1:20" x14ac:dyDescent="0.25">
      <c r="A7" s="16" t="s">
        <v>131</v>
      </c>
      <c r="B7" s="15">
        <f>'Region Data'!$A$1:$U$10</f>
        <v>70.8</v>
      </c>
    </row>
    <row r="8" spans="1:20" x14ac:dyDescent="0.25">
      <c r="A8" s="16" t="s">
        <v>132</v>
      </c>
      <c r="B8" s="15">
        <v>1</v>
      </c>
    </row>
    <row r="9" spans="1:20" x14ac:dyDescent="0.25">
      <c r="A9" s="16" t="s">
        <v>133</v>
      </c>
      <c r="B9" s="15">
        <f>1</f>
        <v>1</v>
      </c>
    </row>
    <row r="10" spans="1:20" x14ac:dyDescent="0.25">
      <c r="A10" s="16" t="s">
        <v>134</v>
      </c>
      <c r="B10" s="15">
        <v>21</v>
      </c>
    </row>
    <row r="12" spans="1:20" x14ac:dyDescent="0.25">
      <c r="A12" s="16" t="s">
        <v>135</v>
      </c>
      <c r="B12" s="15" t="s">
        <v>307</v>
      </c>
      <c r="C12" s="15" t="s">
        <v>137</v>
      </c>
      <c r="D12" s="15" t="s">
        <v>308</v>
      </c>
      <c r="E12" s="15" t="b">
        <v>1</v>
      </c>
      <c r="F12" s="15">
        <v>0</v>
      </c>
      <c r="G12" s="15">
        <v>4</v>
      </c>
    </row>
    <row r="13" spans="1:20" x14ac:dyDescent="0.25">
      <c r="A13" s="16" t="s">
        <v>139</v>
      </c>
      <c r="B13" s="15" t="e">
        <f>'Region Data'!$A$1:$A$10</f>
        <v>#VALUE!</v>
      </c>
    </row>
    <row r="14" spans="1:20" x14ac:dyDescent="0.25">
      <c r="A14" s="16" t="s">
        <v>140</v>
      </c>
    </row>
    <row r="15" spans="1:20" x14ac:dyDescent="0.25">
      <c r="A15" s="16" t="s">
        <v>141</v>
      </c>
      <c r="B15" s="15" t="s">
        <v>309</v>
      </c>
      <c r="C15" s="15" t="s">
        <v>143</v>
      </c>
      <c r="D15" s="15" t="s">
        <v>310</v>
      </c>
      <c r="E15" s="15" t="b">
        <v>1</v>
      </c>
      <c r="F15" s="15">
        <v>0</v>
      </c>
      <c r="G15" s="15">
        <v>4</v>
      </c>
    </row>
    <row r="16" spans="1:20" x14ac:dyDescent="0.25">
      <c r="A16" s="16" t="s">
        <v>145</v>
      </c>
      <c r="B16" s="15" t="e">
        <f>'Region Data'!$B$1:$B$10</f>
        <v>#VALUE!</v>
      </c>
    </row>
    <row r="17" spans="1:7" x14ac:dyDescent="0.25">
      <c r="A17" s="16" t="s">
        <v>146</v>
      </c>
    </row>
    <row r="18" spans="1:7" x14ac:dyDescent="0.25">
      <c r="A18" s="16" t="s">
        <v>147</v>
      </c>
      <c r="B18" s="15" t="s">
        <v>311</v>
      </c>
      <c r="C18" s="15" t="s">
        <v>149</v>
      </c>
      <c r="D18" s="15" t="s">
        <v>312</v>
      </c>
      <c r="E18" s="15" t="b">
        <v>1</v>
      </c>
      <c r="F18" s="15">
        <v>0</v>
      </c>
      <c r="G18" s="15">
        <v>4</v>
      </c>
    </row>
    <row r="19" spans="1:7" x14ac:dyDescent="0.25">
      <c r="A19" s="16" t="s">
        <v>151</v>
      </c>
      <c r="B19" s="15" t="e">
        <f>'Region Data'!$C$1:$C$10</f>
        <v>#VALUE!</v>
      </c>
    </row>
    <row r="20" spans="1:7" x14ac:dyDescent="0.25">
      <c r="A20" s="16" t="s">
        <v>152</v>
      </c>
    </row>
    <row r="21" spans="1:7" x14ac:dyDescent="0.25">
      <c r="A21" s="16" t="s">
        <v>153</v>
      </c>
      <c r="B21" s="15" t="s">
        <v>313</v>
      </c>
      <c r="C21" s="15" t="s">
        <v>155</v>
      </c>
      <c r="D21" s="15" t="s">
        <v>314</v>
      </c>
      <c r="E21" s="15" t="b">
        <v>1</v>
      </c>
      <c r="F21" s="15">
        <v>0</v>
      </c>
      <c r="G21" s="15">
        <v>4</v>
      </c>
    </row>
    <row r="22" spans="1:7" x14ac:dyDescent="0.25">
      <c r="A22" s="16" t="s">
        <v>157</v>
      </c>
      <c r="B22" s="15" t="e">
        <f>'Region Data'!$D$1:$D$10</f>
        <v>#VALUE!</v>
      </c>
    </row>
    <row r="23" spans="1:7" x14ac:dyDescent="0.25">
      <c r="A23" s="16" t="s">
        <v>158</v>
      </c>
    </row>
    <row r="24" spans="1:7" x14ac:dyDescent="0.25">
      <c r="A24" s="16" t="s">
        <v>159</v>
      </c>
      <c r="B24" s="15" t="s">
        <v>315</v>
      </c>
      <c r="C24" s="15" t="s">
        <v>161</v>
      </c>
      <c r="D24" s="15" t="s">
        <v>316</v>
      </c>
      <c r="E24" s="15" t="b">
        <v>1</v>
      </c>
      <c r="F24" s="15">
        <v>0</v>
      </c>
      <c r="G24" s="15">
        <v>4</v>
      </c>
    </row>
    <row r="25" spans="1:7" x14ac:dyDescent="0.25">
      <c r="A25" s="16" t="s">
        <v>163</v>
      </c>
      <c r="B25" s="15" t="e">
        <f>'Region Data'!$E$1:$E$10</f>
        <v>#VALUE!</v>
      </c>
    </row>
    <row r="26" spans="1:7" x14ac:dyDescent="0.25">
      <c r="A26" s="16" t="s">
        <v>164</v>
      </c>
    </row>
    <row r="27" spans="1:7" x14ac:dyDescent="0.25">
      <c r="A27" s="16" t="s">
        <v>165</v>
      </c>
      <c r="B27" s="15" t="s">
        <v>317</v>
      </c>
      <c r="C27" s="15" t="s">
        <v>167</v>
      </c>
      <c r="D27" s="15" t="s">
        <v>318</v>
      </c>
      <c r="E27" s="15" t="b">
        <v>1</v>
      </c>
      <c r="F27" s="15">
        <v>0</v>
      </c>
      <c r="G27" s="15">
        <v>4</v>
      </c>
    </row>
    <row r="28" spans="1:7" x14ac:dyDescent="0.25">
      <c r="A28" s="16" t="s">
        <v>169</v>
      </c>
      <c r="B28" s="15" t="e">
        <f>'Region Data'!$F$1:$F$10</f>
        <v>#VALUE!</v>
      </c>
    </row>
    <row r="29" spans="1:7" x14ac:dyDescent="0.25">
      <c r="A29" s="16" t="s">
        <v>170</v>
      </c>
    </row>
    <row r="30" spans="1:7" x14ac:dyDescent="0.25">
      <c r="A30" s="16" t="s">
        <v>171</v>
      </c>
      <c r="B30" s="15" t="s">
        <v>319</v>
      </c>
      <c r="C30" s="15" t="s">
        <v>173</v>
      </c>
      <c r="D30" s="15" t="s">
        <v>320</v>
      </c>
      <c r="E30" s="15" t="b">
        <v>1</v>
      </c>
      <c r="F30" s="15">
        <v>0</v>
      </c>
      <c r="G30" s="15">
        <v>4</v>
      </c>
    </row>
    <row r="31" spans="1:7" x14ac:dyDescent="0.25">
      <c r="A31" s="16" t="s">
        <v>175</v>
      </c>
      <c r="B31" s="15" t="e">
        <f>'Region Data'!$G$1:$G$10</f>
        <v>#VALUE!</v>
      </c>
    </row>
    <row r="32" spans="1:7" x14ac:dyDescent="0.25">
      <c r="A32" s="16" t="s">
        <v>176</v>
      </c>
    </row>
    <row r="33" spans="1:7" x14ac:dyDescent="0.25">
      <c r="A33" s="16" t="s">
        <v>177</v>
      </c>
      <c r="B33" s="15" t="s">
        <v>321</v>
      </c>
      <c r="C33" s="15" t="s">
        <v>179</v>
      </c>
      <c r="D33" s="15" t="s">
        <v>322</v>
      </c>
      <c r="E33" s="15" t="b">
        <v>1</v>
      </c>
      <c r="F33" s="15">
        <v>0</v>
      </c>
      <c r="G33" s="15">
        <v>4</v>
      </c>
    </row>
    <row r="34" spans="1:7" x14ac:dyDescent="0.25">
      <c r="A34" s="16" t="s">
        <v>181</v>
      </c>
      <c r="B34" s="15" t="e">
        <f>'Region Data'!$H$1:$H$10</f>
        <v>#VALUE!</v>
      </c>
    </row>
    <row r="35" spans="1:7" x14ac:dyDescent="0.25">
      <c r="A35" s="16" t="s">
        <v>182</v>
      </c>
    </row>
    <row r="36" spans="1:7" x14ac:dyDescent="0.25">
      <c r="A36" s="16" t="s">
        <v>183</v>
      </c>
      <c r="B36" s="15" t="s">
        <v>323</v>
      </c>
      <c r="C36" s="15" t="s">
        <v>185</v>
      </c>
      <c r="D36" s="15" t="s">
        <v>324</v>
      </c>
      <c r="E36" s="15" t="b">
        <v>1</v>
      </c>
      <c r="F36" s="15">
        <v>0</v>
      </c>
      <c r="G36" s="15">
        <v>4</v>
      </c>
    </row>
    <row r="37" spans="1:7" x14ac:dyDescent="0.25">
      <c r="A37" s="16" t="s">
        <v>187</v>
      </c>
      <c r="B37" s="15" t="e">
        <f>'Region Data'!$I$1:$I$10</f>
        <v>#VALUE!</v>
      </c>
    </row>
    <row r="38" spans="1:7" x14ac:dyDescent="0.25">
      <c r="A38" s="16" t="s">
        <v>188</v>
      </c>
    </row>
    <row r="39" spans="1:7" x14ac:dyDescent="0.25">
      <c r="A39" s="16" t="s">
        <v>189</v>
      </c>
      <c r="B39" s="15" t="s">
        <v>325</v>
      </c>
      <c r="C39" s="15" t="s">
        <v>191</v>
      </c>
      <c r="D39" s="15" t="s">
        <v>326</v>
      </c>
      <c r="E39" s="15" t="b">
        <v>1</v>
      </c>
      <c r="F39" s="15">
        <v>0</v>
      </c>
      <c r="G39" s="15">
        <v>4</v>
      </c>
    </row>
    <row r="40" spans="1:7" x14ac:dyDescent="0.25">
      <c r="A40" s="16" t="s">
        <v>193</v>
      </c>
      <c r="B40" s="15" t="e">
        <f>'Region Data'!$J$1:$J$10</f>
        <v>#VALUE!</v>
      </c>
    </row>
    <row r="41" spans="1:7" x14ac:dyDescent="0.25">
      <c r="A41" s="16" t="s">
        <v>194</v>
      </c>
    </row>
    <row r="42" spans="1:7" x14ac:dyDescent="0.25">
      <c r="A42" s="16" t="s">
        <v>195</v>
      </c>
      <c r="B42" s="15" t="s">
        <v>327</v>
      </c>
      <c r="C42" s="15" t="s">
        <v>197</v>
      </c>
      <c r="D42" s="15" t="s">
        <v>328</v>
      </c>
      <c r="E42" s="15" t="b">
        <v>1</v>
      </c>
      <c r="F42" s="15">
        <v>0</v>
      </c>
      <c r="G42" s="15">
        <v>4</v>
      </c>
    </row>
    <row r="43" spans="1:7" x14ac:dyDescent="0.25">
      <c r="A43" s="16" t="s">
        <v>199</v>
      </c>
      <c r="B43" s="15" t="e">
        <f>'Region Data'!$K$1:$K$10</f>
        <v>#VALUE!</v>
      </c>
    </row>
    <row r="44" spans="1:7" x14ac:dyDescent="0.25">
      <c r="A44" s="16" t="s">
        <v>200</v>
      </c>
    </row>
    <row r="45" spans="1:7" x14ac:dyDescent="0.25">
      <c r="A45" s="16" t="s">
        <v>201</v>
      </c>
      <c r="B45" s="15" t="s">
        <v>329</v>
      </c>
      <c r="C45" s="15" t="s">
        <v>203</v>
      </c>
      <c r="D45" s="15" t="s">
        <v>330</v>
      </c>
      <c r="E45" s="15" t="b">
        <v>1</v>
      </c>
      <c r="F45" s="15">
        <v>0</v>
      </c>
      <c r="G45" s="15">
        <v>4</v>
      </c>
    </row>
    <row r="46" spans="1:7" x14ac:dyDescent="0.25">
      <c r="A46" s="16" t="s">
        <v>205</v>
      </c>
      <c r="B46" s="15" t="e">
        <f>'Region Data'!$L$1:$L$10</f>
        <v>#VALUE!</v>
      </c>
    </row>
    <row r="47" spans="1:7" x14ac:dyDescent="0.25">
      <c r="A47" s="16" t="s">
        <v>206</v>
      </c>
    </row>
    <row r="48" spans="1:7" x14ac:dyDescent="0.25">
      <c r="A48" s="16" t="s">
        <v>207</v>
      </c>
      <c r="B48" s="15" t="s">
        <v>331</v>
      </c>
      <c r="C48" s="15" t="s">
        <v>209</v>
      </c>
      <c r="D48" s="15" t="s">
        <v>332</v>
      </c>
      <c r="E48" s="15" t="b">
        <v>1</v>
      </c>
      <c r="F48" s="15">
        <v>0</v>
      </c>
      <c r="G48" s="15">
        <v>4</v>
      </c>
    </row>
    <row r="49" spans="1:7" x14ac:dyDescent="0.25">
      <c r="A49" s="16" t="s">
        <v>211</v>
      </c>
      <c r="B49" s="15" t="e">
        <f>'Region Data'!$M$1:$M$10</f>
        <v>#VALUE!</v>
      </c>
    </row>
    <row r="50" spans="1:7" x14ac:dyDescent="0.25">
      <c r="A50" s="16" t="s">
        <v>212</v>
      </c>
    </row>
    <row r="51" spans="1:7" x14ac:dyDescent="0.25">
      <c r="A51" s="16" t="s">
        <v>213</v>
      </c>
      <c r="B51" s="15" t="s">
        <v>333</v>
      </c>
      <c r="C51" s="15" t="s">
        <v>215</v>
      </c>
      <c r="D51" s="15" t="s">
        <v>334</v>
      </c>
      <c r="E51" s="15" t="b">
        <v>1</v>
      </c>
      <c r="F51" s="15">
        <v>0</v>
      </c>
      <c r="G51" s="15">
        <v>4</v>
      </c>
    </row>
    <row r="52" spans="1:7" x14ac:dyDescent="0.25">
      <c r="A52" s="16" t="s">
        <v>217</v>
      </c>
      <c r="B52" s="15" t="e">
        <f>'Region Data'!$N$1:$N$10</f>
        <v>#VALUE!</v>
      </c>
    </row>
    <row r="53" spans="1:7" x14ac:dyDescent="0.25">
      <c r="A53" s="16" t="s">
        <v>218</v>
      </c>
    </row>
    <row r="54" spans="1:7" x14ac:dyDescent="0.25">
      <c r="A54" s="16" t="s">
        <v>219</v>
      </c>
      <c r="B54" s="15" t="s">
        <v>335</v>
      </c>
      <c r="C54" s="15" t="s">
        <v>221</v>
      </c>
      <c r="D54" s="15" t="s">
        <v>336</v>
      </c>
      <c r="E54" s="15" t="b">
        <v>1</v>
      </c>
      <c r="F54" s="15">
        <v>0</v>
      </c>
      <c r="G54" s="15">
        <v>4</v>
      </c>
    </row>
    <row r="55" spans="1:7" x14ac:dyDescent="0.25">
      <c r="A55" s="16" t="s">
        <v>223</v>
      </c>
      <c r="B55" s="15" t="e">
        <f>'Region Data'!$O$1:$O$10</f>
        <v>#VALUE!</v>
      </c>
    </row>
    <row r="56" spans="1:7" x14ac:dyDescent="0.25">
      <c r="A56" s="16" t="s">
        <v>224</v>
      </c>
    </row>
    <row r="57" spans="1:7" x14ac:dyDescent="0.25">
      <c r="A57" s="16" t="s">
        <v>225</v>
      </c>
      <c r="B57" s="15" t="s">
        <v>337</v>
      </c>
      <c r="C57" s="15" t="s">
        <v>227</v>
      </c>
      <c r="D57" s="15" t="s">
        <v>338</v>
      </c>
      <c r="E57" s="15" t="b">
        <v>1</v>
      </c>
      <c r="F57" s="15">
        <v>0</v>
      </c>
      <c r="G57" s="15">
        <v>4</v>
      </c>
    </row>
    <row r="58" spans="1:7" x14ac:dyDescent="0.25">
      <c r="A58" s="16" t="s">
        <v>229</v>
      </c>
      <c r="B58" s="15" t="e">
        <f>'Region Data'!$P$1:$P$10</f>
        <v>#VALUE!</v>
      </c>
    </row>
    <row r="59" spans="1:7" x14ac:dyDescent="0.25">
      <c r="A59" s="16" t="s">
        <v>230</v>
      </c>
    </row>
    <row r="60" spans="1:7" x14ac:dyDescent="0.25">
      <c r="A60" s="16" t="s">
        <v>231</v>
      </c>
      <c r="B60" s="15" t="s">
        <v>339</v>
      </c>
      <c r="C60" s="15" t="s">
        <v>233</v>
      </c>
      <c r="D60" s="15" t="s">
        <v>340</v>
      </c>
      <c r="E60" s="15" t="b">
        <v>1</v>
      </c>
      <c r="F60" s="15">
        <v>0</v>
      </c>
      <c r="G60" s="15">
        <v>4</v>
      </c>
    </row>
    <row r="61" spans="1:7" x14ac:dyDescent="0.25">
      <c r="A61" s="16" t="s">
        <v>235</v>
      </c>
      <c r="B61" s="15" t="e">
        <f>'Region Data'!$Q$1:$Q$10</f>
        <v>#VALUE!</v>
      </c>
    </row>
    <row r="62" spans="1:7" x14ac:dyDescent="0.25">
      <c r="A62" s="16" t="s">
        <v>236</v>
      </c>
    </row>
    <row r="63" spans="1:7" x14ac:dyDescent="0.25">
      <c r="A63" s="16" t="s">
        <v>237</v>
      </c>
      <c r="B63" s="15" t="s">
        <v>341</v>
      </c>
      <c r="C63" s="15" t="s">
        <v>239</v>
      </c>
      <c r="D63" s="15" t="s">
        <v>342</v>
      </c>
      <c r="E63" s="15" t="b">
        <v>1</v>
      </c>
      <c r="F63" s="15">
        <v>0</v>
      </c>
      <c r="G63" s="15">
        <v>4</v>
      </c>
    </row>
    <row r="64" spans="1:7" x14ac:dyDescent="0.25">
      <c r="A64" s="16" t="s">
        <v>241</v>
      </c>
      <c r="B64" s="15" t="e">
        <f>'Region Data'!$R$1:$R$10</f>
        <v>#VALUE!</v>
      </c>
    </row>
    <row r="65" spans="1:7" x14ac:dyDescent="0.25">
      <c r="A65" s="16" t="s">
        <v>242</v>
      </c>
    </row>
    <row r="66" spans="1:7" x14ac:dyDescent="0.25">
      <c r="A66" s="16" t="s">
        <v>243</v>
      </c>
      <c r="B66" s="15" t="s">
        <v>343</v>
      </c>
      <c r="C66" s="15" t="s">
        <v>245</v>
      </c>
      <c r="D66" s="15" t="s">
        <v>344</v>
      </c>
      <c r="E66" s="15" t="b">
        <v>1</v>
      </c>
      <c r="F66" s="15">
        <v>0</v>
      </c>
      <c r="G66" s="15">
        <v>4</v>
      </c>
    </row>
    <row r="67" spans="1:7" x14ac:dyDescent="0.25">
      <c r="A67" s="16" t="s">
        <v>247</v>
      </c>
      <c r="B67" s="15" t="e">
        <f>'Region Data'!$S$1:$S$10</f>
        <v>#VALUE!</v>
      </c>
    </row>
    <row r="68" spans="1:7" x14ac:dyDescent="0.25">
      <c r="A68" s="16" t="s">
        <v>248</v>
      </c>
    </row>
    <row r="69" spans="1:7" x14ac:dyDescent="0.25">
      <c r="A69" s="16" t="s">
        <v>249</v>
      </c>
      <c r="B69" s="15" t="s">
        <v>345</v>
      </c>
      <c r="C69" s="15" t="s">
        <v>251</v>
      </c>
      <c r="D69" s="15" t="s">
        <v>346</v>
      </c>
      <c r="E69" s="15" t="b">
        <v>1</v>
      </c>
      <c r="F69" s="15">
        <v>0</v>
      </c>
      <c r="G69" s="15">
        <v>4</v>
      </c>
    </row>
    <row r="70" spans="1:7" x14ac:dyDescent="0.25">
      <c r="A70" s="16" t="s">
        <v>253</v>
      </c>
      <c r="B70" s="15" t="e">
        <f>'Region Data'!$T$1:$T$10</f>
        <v>#VALUE!</v>
      </c>
    </row>
    <row r="71" spans="1:7" x14ac:dyDescent="0.25">
      <c r="A71" s="16" t="s">
        <v>254</v>
      </c>
    </row>
    <row r="72" spans="1:7" x14ac:dyDescent="0.25">
      <c r="A72" s="16" t="s">
        <v>255</v>
      </c>
      <c r="B72" s="15" t="s">
        <v>347</v>
      </c>
      <c r="C72" s="15" t="s">
        <v>257</v>
      </c>
      <c r="D72" s="15" t="s">
        <v>348</v>
      </c>
      <c r="E72" s="15" t="b">
        <v>1</v>
      </c>
      <c r="F72" s="15">
        <v>0</v>
      </c>
      <c r="G72" s="15">
        <v>4</v>
      </c>
    </row>
    <row r="73" spans="1:7" x14ac:dyDescent="0.25">
      <c r="A73" s="16" t="s">
        <v>259</v>
      </c>
      <c r="B73" s="15" t="e">
        <f>'Region Data'!$U$1:$U$10</f>
        <v>#VALUE!</v>
      </c>
    </row>
    <row r="74" spans="1:7" x14ac:dyDescent="0.25">
      <c r="A74" s="16" t="s">
        <v>260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43</vt:i4>
      </vt:variant>
    </vt:vector>
  </HeadingPairs>
  <TitlesOfParts>
    <vt:vector size="50" baseType="lpstr">
      <vt:lpstr>Source</vt:lpstr>
      <vt:lpstr>Data</vt:lpstr>
      <vt:lpstr>State Data</vt:lpstr>
      <vt:lpstr>One Var Summary States</vt:lpstr>
      <vt:lpstr>Region Data</vt:lpstr>
      <vt:lpstr>_STDS_DG1248F91</vt:lpstr>
      <vt:lpstr>_STDS_DG36B9512B</vt:lpstr>
      <vt:lpstr>ST_1989</vt:lpstr>
      <vt:lpstr>ST_1989_2</vt:lpstr>
      <vt:lpstr>ST_1990</vt:lpstr>
      <vt:lpstr>ST_1990_3</vt:lpstr>
      <vt:lpstr>ST_1991</vt:lpstr>
      <vt:lpstr>ST_1991_4</vt:lpstr>
      <vt:lpstr>ST_1992</vt:lpstr>
      <vt:lpstr>ST_1992_5</vt:lpstr>
      <vt:lpstr>ST_1993</vt:lpstr>
      <vt:lpstr>ST_1993_6</vt:lpstr>
      <vt:lpstr>ST_1994</vt:lpstr>
      <vt:lpstr>ST_1994_7</vt:lpstr>
      <vt:lpstr>ST_1995</vt:lpstr>
      <vt:lpstr>ST_1995_8</vt:lpstr>
      <vt:lpstr>ST_1996</vt:lpstr>
      <vt:lpstr>ST_1996_9</vt:lpstr>
      <vt:lpstr>ST_1997</vt:lpstr>
      <vt:lpstr>ST_1997_10</vt:lpstr>
      <vt:lpstr>ST_1998</vt:lpstr>
      <vt:lpstr>ST_1998_11</vt:lpstr>
      <vt:lpstr>ST_1999</vt:lpstr>
      <vt:lpstr>ST_1999_12</vt:lpstr>
      <vt:lpstr>ST_2000</vt:lpstr>
      <vt:lpstr>ST_2000_13</vt:lpstr>
      <vt:lpstr>ST_2001</vt:lpstr>
      <vt:lpstr>ST_2001_14</vt:lpstr>
      <vt:lpstr>ST_2002</vt:lpstr>
      <vt:lpstr>ST_2002_15</vt:lpstr>
      <vt:lpstr>ST_2003</vt:lpstr>
      <vt:lpstr>ST_2003_16</vt:lpstr>
      <vt:lpstr>ST_2004</vt:lpstr>
      <vt:lpstr>ST_2004_17</vt:lpstr>
      <vt:lpstr>ST_2005</vt:lpstr>
      <vt:lpstr>ST_2005_18</vt:lpstr>
      <vt:lpstr>ST_2006</vt:lpstr>
      <vt:lpstr>ST_2006_19</vt:lpstr>
      <vt:lpstr>ST_2007</vt:lpstr>
      <vt:lpstr>ST_2007_20</vt:lpstr>
      <vt:lpstr>ST_2008</vt:lpstr>
      <vt:lpstr>ST_2008_21</vt:lpstr>
      <vt:lpstr>ST_Region</vt:lpstr>
      <vt:lpstr>ST_State</vt:lpstr>
      <vt:lpstr>'One Var Summary States'!StatToolsHeader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Chris Albright</dc:creator>
  <cp:lastModifiedBy>Chris</cp:lastModifiedBy>
  <dcterms:created xsi:type="dcterms:W3CDTF">2007-05-15T19:07:35Z</dcterms:created>
  <dcterms:modified xsi:type="dcterms:W3CDTF">2012-10-12T17:37:23Z</dcterms:modified>
</cp:coreProperties>
</file>